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Users\cyber\Desktop\misc data\"/>
    </mc:Choice>
  </mc:AlternateContent>
  <xr:revisionPtr revIDLastSave="0" documentId="8_{76739FC8-0C0C-4F1C-B5E1-4CE63AF87C3A}" xr6:coauthVersionLast="45" xr6:coauthVersionMax="45" xr10:uidLastSave="{00000000-0000-0000-0000-000000000000}"/>
  <bookViews>
    <workbookView xWindow="31350" yWindow="2805" windowWidth="23160" windowHeight="10545" xr2:uid="{00000000-000D-0000-FFFF-FFFF00000000}"/>
  </bookViews>
  <sheets>
    <sheet name="INTRODUCTION" sheetId="6" r:id="rId1"/>
    <sheet name="Calculating marks" sheetId="8" r:id="rId2"/>
    <sheet name="Example marks" sheetId="11" r:id="rId3"/>
    <sheet name="DEGREE MARK SIMULATOR" sheetId="7" r:id="rId4"/>
    <sheet name="Register" sheetId="4" r:id="rId5"/>
    <sheet name="GOV.UK " sheetId="2" r:id="rId6"/>
    <sheet name="Sheet2" sheetId="13" state="hidden" r:id="rId7"/>
  </sheets>
  <externalReferences>
    <externalReference r:id="rId8"/>
  </externalReferences>
  <definedNames>
    <definedName name="_xlnm.Print_Area" localSheetId="1">'Calculating marks'!$B$7:$U$141</definedName>
    <definedName name="_xlnm.Print_Area" localSheetId="3">'DEGREE MARK SIMULATOR'!$T$33:$AO$98</definedName>
    <definedName name="_xlnm.Print_Area" localSheetId="2">'Example marks'!$B$23:$AS$155</definedName>
    <definedName name="_xlnm.Print_Area" localSheetId="0">INTRODUCTION!$B$2:$S$59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F182" i="11" l="1"/>
  <c r="BF47" i="11"/>
  <c r="BF179" i="11"/>
  <c r="BF194" i="11"/>
  <c r="BE194" i="11"/>
  <c r="BF193" i="11"/>
  <c r="BE193" i="11"/>
  <c r="BF191" i="11"/>
  <c r="BE191" i="11"/>
  <c r="BB191" i="11"/>
  <c r="BA191" i="11"/>
  <c r="BF190" i="11"/>
  <c r="BE190" i="11"/>
  <c r="BF189" i="11"/>
  <c r="BE189" i="11"/>
  <c r="BF188" i="11"/>
  <c r="BE188" i="11"/>
  <c r="BF187" i="11"/>
  <c r="BE187" i="11"/>
  <c r="BF186" i="11"/>
  <c r="BE186" i="11"/>
  <c r="BF185" i="11"/>
  <c r="BE185" i="11"/>
  <c r="BF184" i="11"/>
  <c r="BE184" i="11"/>
  <c r="BF183" i="11"/>
  <c r="BE183" i="11"/>
  <c r="BE182" i="11"/>
  <c r="BF181" i="11"/>
  <c r="BE181" i="11"/>
  <c r="BC181" i="11"/>
  <c r="BB181" i="11"/>
  <c r="AZ181" i="11"/>
  <c r="BE179" i="11"/>
  <c r="BF59" i="11"/>
  <c r="BF58" i="11"/>
  <c r="BF56" i="11"/>
  <c r="BE56" i="11"/>
  <c r="BF55" i="11"/>
  <c r="BE55" i="11"/>
  <c r="BF54" i="11"/>
  <c r="BE54" i="11"/>
  <c r="BF53" i="11"/>
  <c r="BE53" i="11"/>
  <c r="BF52" i="11"/>
  <c r="BE52" i="11"/>
  <c r="BF51" i="11"/>
  <c r="BE51" i="11"/>
  <c r="BF50" i="11"/>
  <c r="BE50" i="11"/>
  <c r="BF49" i="11"/>
  <c r="BE49" i="11"/>
  <c r="BF48" i="11"/>
  <c r="BE48" i="11"/>
  <c r="BE47" i="11"/>
  <c r="BF46" i="11"/>
  <c r="BE46" i="11"/>
  <c r="BF44" i="11"/>
  <c r="BE44" i="11"/>
  <c r="Y103" i="7"/>
  <c r="BA56" i="11"/>
  <c r="BB56" i="11"/>
  <c r="AZ46" i="11"/>
  <c r="BB46" i="11"/>
  <c r="BC46" i="11"/>
  <c r="BE58" i="11"/>
  <c r="BE59" i="11"/>
  <c r="BF197" i="11" l="1"/>
  <c r="BE197" i="11"/>
  <c r="BF196" i="11"/>
  <c r="BE196" i="11"/>
  <c r="BC173" i="11"/>
  <c r="BE61" i="11"/>
  <c r="BF62" i="11"/>
  <c r="BF61" i="11"/>
  <c r="BE62" i="11"/>
  <c r="BE198" i="11" l="1"/>
  <c r="BF198" i="11"/>
  <c r="BE63" i="11"/>
  <c r="BF63" i="11"/>
  <c r="H124" i="4" l="1"/>
  <c r="H85" i="4"/>
  <c r="H17" i="4"/>
  <c r="H16" i="4"/>
  <c r="H15" i="4"/>
  <c r="IQ133" i="7"/>
  <c r="IR133" i="7"/>
  <c r="IQ134" i="7"/>
  <c r="IQ135" i="7"/>
  <c r="IQ136" i="7"/>
  <c r="IQ137" i="7"/>
  <c r="IQ138" i="7"/>
  <c r="A83" i="7"/>
  <c r="IJ103" i="7"/>
  <c r="A82" i="7"/>
  <c r="R98" i="7"/>
  <c r="Z101" i="7"/>
  <c r="K114" i="13"/>
  <c r="K113" i="13"/>
  <c r="K112" i="13"/>
  <c r="K111" i="13"/>
  <c r="K110" i="13"/>
  <c r="K109" i="13"/>
  <c r="K108" i="13"/>
  <c r="K107" i="13"/>
  <c r="K105" i="13"/>
  <c r="K106" i="13"/>
  <c r="K127" i="13"/>
  <c r="K101" i="13"/>
  <c r="K102" i="13"/>
  <c r="K103" i="13"/>
  <c r="K132" i="13"/>
  <c r="K104" i="13"/>
  <c r="K100" i="13"/>
  <c r="K99" i="13"/>
  <c r="K98" i="13"/>
  <c r="K97" i="13"/>
  <c r="K96" i="13"/>
  <c r="K95" i="13"/>
  <c r="K117" i="13"/>
  <c r="K94" i="13"/>
  <c r="K93" i="13"/>
  <c r="K92" i="13"/>
  <c r="K116" i="13"/>
  <c r="K91" i="13"/>
  <c r="K90" i="13"/>
  <c r="K89" i="13"/>
  <c r="K88" i="13"/>
  <c r="K87" i="13"/>
  <c r="K86" i="13"/>
  <c r="K85" i="13"/>
  <c r="K84" i="13"/>
  <c r="K83" i="13"/>
  <c r="K78" i="13"/>
  <c r="K82" i="13"/>
  <c r="K81" i="13"/>
  <c r="K80" i="13"/>
  <c r="K79" i="13"/>
  <c r="K75" i="13"/>
  <c r="K77" i="13"/>
  <c r="K76" i="13"/>
  <c r="K74" i="13"/>
  <c r="K73" i="13"/>
  <c r="K72" i="13"/>
  <c r="K71" i="13"/>
  <c r="K119" i="13"/>
  <c r="K69" i="13"/>
  <c r="K126" i="13"/>
  <c r="K70" i="13"/>
  <c r="K115" i="13"/>
  <c r="K68" i="13"/>
  <c r="K67" i="13"/>
  <c r="K123" i="13"/>
  <c r="K66" i="13"/>
  <c r="K65" i="13"/>
  <c r="K124" i="13"/>
  <c r="K125" i="13"/>
  <c r="K63" i="13"/>
  <c r="K64" i="13"/>
  <c r="K62" i="13"/>
  <c r="K61" i="13"/>
  <c r="K60" i="13"/>
  <c r="K59" i="13"/>
  <c r="K58" i="13"/>
  <c r="K57" i="13"/>
  <c r="K56" i="13"/>
  <c r="K55" i="13"/>
  <c r="K54" i="13"/>
  <c r="K129" i="13"/>
  <c r="K121" i="13"/>
  <c r="K53" i="13"/>
  <c r="K52" i="13"/>
  <c r="K51" i="13"/>
  <c r="K50" i="13"/>
  <c r="K131" i="13"/>
  <c r="K49" i="13"/>
  <c r="K48" i="13"/>
  <c r="K47" i="13"/>
  <c r="K122" i="13"/>
  <c r="K46" i="13"/>
  <c r="K45" i="13"/>
  <c r="K44" i="13"/>
  <c r="K43" i="13"/>
  <c r="K42" i="13"/>
  <c r="K128" i="13"/>
  <c r="K41" i="13"/>
  <c r="K40" i="13"/>
  <c r="K39" i="13"/>
  <c r="K38" i="13"/>
  <c r="K37" i="13"/>
  <c r="K36" i="13"/>
  <c r="K35" i="13"/>
  <c r="K34" i="13"/>
  <c r="K33" i="13"/>
  <c r="K32" i="13"/>
  <c r="K31" i="13"/>
  <c r="K30" i="13"/>
  <c r="K29" i="13"/>
  <c r="K28" i="13"/>
  <c r="K120" i="13"/>
  <c r="K27" i="13"/>
  <c r="K26" i="13"/>
  <c r="K25" i="13"/>
  <c r="K24" i="13"/>
  <c r="K23" i="13"/>
  <c r="K22" i="13"/>
  <c r="K118" i="13"/>
  <c r="K21" i="13"/>
  <c r="K20" i="13"/>
  <c r="K19" i="13"/>
  <c r="K133" i="13"/>
  <c r="K18" i="13"/>
  <c r="K17" i="13"/>
  <c r="K16" i="13"/>
  <c r="K15" i="13"/>
  <c r="K14" i="13"/>
  <c r="K13" i="13"/>
  <c r="K12" i="13"/>
  <c r="K11" i="13"/>
  <c r="K10" i="13"/>
  <c r="K9" i="13"/>
  <c r="K8" i="13"/>
  <c r="K7" i="13"/>
  <c r="K6" i="13"/>
  <c r="K5" i="13"/>
  <c r="K4" i="13"/>
  <c r="K3" i="13"/>
  <c r="K130" i="13"/>
  <c r="AX16" i="7"/>
  <c r="AX17" i="7" s="1"/>
  <c r="AX18" i="7" s="1"/>
  <c r="AX19" i="7" s="1"/>
  <c r="AX20" i="7" s="1"/>
  <c r="AX21" i="7" s="1"/>
  <c r="AX22" i="7" s="1"/>
  <c r="AX23" i="7" s="1"/>
  <c r="AX24" i="7" s="1"/>
  <c r="AX25" i="7" s="1"/>
  <c r="AX26" i="7" s="1"/>
  <c r="AZ15" i="7"/>
  <c r="BA15" i="7"/>
  <c r="CB15" i="7" s="1"/>
  <c r="AZ16" i="7"/>
  <c r="BA16" i="7"/>
  <c r="AZ17" i="7"/>
  <c r="BA17" i="7"/>
  <c r="AZ18" i="7"/>
  <c r="BA18" i="7"/>
  <c r="AZ19" i="7"/>
  <c r="BA19" i="7"/>
  <c r="AZ20" i="7"/>
  <c r="BA20" i="7"/>
  <c r="AZ21" i="7"/>
  <c r="BA21" i="7"/>
  <c r="AZ22" i="7"/>
  <c r="BA22" i="7"/>
  <c r="AZ23" i="7"/>
  <c r="BA23" i="7"/>
  <c r="AZ24" i="7"/>
  <c r="BA24" i="7"/>
  <c r="AV69" i="8"/>
  <c r="F98" i="7"/>
  <c r="A54" i="7"/>
  <c r="B54" i="7"/>
  <c r="C54" i="7"/>
  <c r="D54" i="7"/>
  <c r="E54" i="7"/>
  <c r="F54" i="7"/>
  <c r="A55" i="7"/>
  <c r="A56" i="7"/>
  <c r="A57" i="7"/>
  <c r="A58" i="7"/>
  <c r="A59" i="7"/>
  <c r="A60" i="7"/>
  <c r="A62" i="7"/>
  <c r="A63" i="7"/>
  <c r="A64" i="7"/>
  <c r="A65" i="7"/>
  <c r="A66" i="7"/>
  <c r="A67" i="7"/>
  <c r="A68" i="7"/>
  <c r="A69" i="7"/>
  <c r="A70" i="7"/>
  <c r="A71" i="7"/>
  <c r="A72" i="7"/>
  <c r="A73" i="7"/>
  <c r="A74" i="7"/>
  <c r="A75" i="7"/>
  <c r="A76" i="7"/>
  <c r="A77" i="7"/>
  <c r="A78" i="7"/>
  <c r="A79" i="7"/>
  <c r="A80" i="7"/>
  <c r="A81" i="7"/>
  <c r="A84" i="7"/>
  <c r="A85" i="7"/>
  <c r="A86" i="7"/>
  <c r="A87" i="7"/>
  <c r="A88" i="7"/>
  <c r="A89" i="7"/>
  <c r="A90" i="7"/>
  <c r="A91" i="7"/>
  <c r="A92" i="7"/>
  <c r="A93" i="7"/>
  <c r="A94" i="7"/>
  <c r="A96" i="7"/>
  <c r="A97" i="7"/>
  <c r="A98" i="7"/>
  <c r="IJ76" i="7"/>
  <c r="IJ77" i="7"/>
  <c r="IJ78" i="7"/>
  <c r="IJ79" i="7"/>
  <c r="IJ80" i="7"/>
  <c r="IJ81" i="7"/>
  <c r="IJ82" i="7"/>
  <c r="IJ83" i="7"/>
  <c r="IJ84" i="7"/>
  <c r="IJ85" i="7"/>
  <c r="IJ86" i="7"/>
  <c r="IJ87" i="7"/>
  <c r="IJ88" i="7"/>
  <c r="IJ89" i="7"/>
  <c r="IJ90" i="7"/>
  <c r="IJ91" i="7"/>
  <c r="IJ92" i="7"/>
  <c r="IJ93" i="7"/>
  <c r="IJ94" i="7"/>
  <c r="IJ95" i="7"/>
  <c r="IJ96" i="7"/>
  <c r="IJ97" i="7"/>
  <c r="IJ98" i="7"/>
  <c r="IJ99" i="7"/>
  <c r="IJ100" i="7"/>
  <c r="IJ101" i="7"/>
  <c r="IJ102" i="7"/>
  <c r="IJ104" i="7"/>
  <c r="IJ105" i="7"/>
  <c r="IJ106" i="7"/>
  <c r="IJ107" i="7"/>
  <c r="IJ108" i="7"/>
  <c r="IJ109" i="7"/>
  <c r="IJ110" i="7"/>
  <c r="IJ111" i="7"/>
  <c r="IJ112" i="7"/>
  <c r="IJ113" i="7"/>
  <c r="IJ114" i="7"/>
  <c r="IJ115" i="7"/>
  <c r="IJ116" i="7"/>
  <c r="BZ96" i="7"/>
  <c r="BZ95" i="7"/>
  <c r="BZ94" i="7"/>
  <c r="BZ93" i="7"/>
  <c r="BZ92" i="7"/>
  <c r="BZ91" i="7"/>
  <c r="BZ90" i="7"/>
  <c r="BZ89" i="7"/>
  <c r="BZ88" i="7"/>
  <c r="BZ87" i="7"/>
  <c r="BZ86" i="7"/>
  <c r="BZ85" i="7"/>
  <c r="BZ84" i="7"/>
  <c r="BZ82" i="7"/>
  <c r="BZ81" i="7"/>
  <c r="BZ80" i="7"/>
  <c r="BZ79" i="7"/>
  <c r="BZ78" i="7"/>
  <c r="BZ77" i="7"/>
  <c r="BZ76" i="7"/>
  <c r="BZ75" i="7"/>
  <c r="BZ74" i="7"/>
  <c r="BZ73" i="7"/>
  <c r="BZ72" i="7"/>
  <c r="BZ71" i="7"/>
  <c r="BZ70" i="7"/>
  <c r="BZ69" i="7"/>
  <c r="BZ68" i="7"/>
  <c r="BZ67" i="7"/>
  <c r="BZ66" i="7"/>
  <c r="BZ65" i="7"/>
  <c r="BZ64" i="7"/>
  <c r="BZ63" i="7"/>
  <c r="BZ62" i="7"/>
  <c r="BZ61" i="7"/>
  <c r="BZ60" i="7"/>
  <c r="BZ59" i="7"/>
  <c r="BZ58" i="7"/>
  <c r="BZ57" i="7"/>
  <c r="BZ56" i="7"/>
  <c r="K134" i="13" l="1"/>
  <c r="AR136" i="8"/>
  <c r="AR135" i="8"/>
  <c r="AQ134" i="8"/>
  <c r="Y107" i="8"/>
  <c r="AH108" i="8"/>
  <c r="AU45" i="8"/>
  <c r="AQ45" i="8"/>
  <c r="AM45" i="8"/>
  <c r="AM46" i="8"/>
  <c r="AM35" i="8"/>
  <c r="BM136" i="8"/>
  <c r="BM135" i="8"/>
  <c r="AP124" i="8"/>
  <c r="AP123" i="8"/>
  <c r="AN128" i="8"/>
  <c r="AN127" i="8"/>
  <c r="AM124" i="8"/>
  <c r="AO128" i="8" s="1"/>
  <c r="AM123" i="8"/>
  <c r="AO127" i="8" s="1"/>
  <c r="AH110" i="8"/>
  <c r="AQ93" i="8"/>
  <c r="AQ92" i="8"/>
  <c r="BJ94" i="8"/>
  <c r="BA94" i="8"/>
  <c r="BA95" i="8" s="1"/>
  <c r="AE29" i="8"/>
  <c r="X35" i="8" s="1"/>
  <c r="AU73" i="8"/>
  <c r="AV73" i="8" s="1"/>
  <c r="AW73" i="8" s="1"/>
  <c r="AX73" i="8" s="1"/>
  <c r="AY73" i="8" s="1"/>
  <c r="AZ73" i="8" s="1"/>
  <c r="BA73" i="8" s="1"/>
  <c r="BB73" i="8" s="1"/>
  <c r="BC73" i="8" s="1"/>
  <c r="BD73" i="8" s="1"/>
  <c r="BE73" i="8" s="1"/>
  <c r="BF73" i="8" s="1"/>
  <c r="BG73" i="8" s="1"/>
  <c r="BH73" i="8" s="1"/>
  <c r="BI73" i="8" s="1"/>
  <c r="BJ73" i="8" s="1"/>
  <c r="BK73" i="8" s="1"/>
  <c r="BL73" i="8" s="1"/>
  <c r="D143" i="8"/>
  <c r="E143" i="8" s="1"/>
  <c r="F143" i="8" s="1"/>
  <c r="G143" i="8" s="1"/>
  <c r="H143" i="8" s="1"/>
  <c r="I143" i="8" s="1"/>
  <c r="J143" i="8" s="1"/>
  <c r="K143" i="8" s="1"/>
  <c r="L143" i="8" s="1"/>
  <c r="M143" i="8" s="1"/>
  <c r="N143" i="8" s="1"/>
  <c r="O143" i="8" s="1"/>
  <c r="P143" i="8" s="1"/>
  <c r="Q143" i="8" s="1"/>
  <c r="R143" i="8" s="1"/>
  <c r="S143" i="8" s="1"/>
  <c r="T143" i="8" s="1"/>
  <c r="U143" i="8" s="1"/>
  <c r="AT66" i="8"/>
  <c r="AT62" i="8"/>
  <c r="AF27" i="8"/>
  <c r="AQ133" i="8" l="1"/>
  <c r="AB31" i="8"/>
  <c r="X34" i="8"/>
  <c r="AQ91" i="8"/>
  <c r="X32" i="8"/>
  <c r="AH41" i="8"/>
  <c r="R37" i="8" s="1"/>
  <c r="X21" i="8"/>
  <c r="AK58" i="8"/>
  <c r="AK59" i="8" s="1"/>
  <c r="AF50" i="8"/>
  <c r="X50" i="8" s="1"/>
  <c r="AG49" i="8"/>
  <c r="AG48" i="8"/>
  <c r="X47" i="8"/>
  <c r="S42" i="8" s="1"/>
  <c r="X46" i="8"/>
  <c r="C42" i="8" s="1"/>
  <c r="AP42" i="8"/>
  <c r="AT42" i="8" s="1"/>
  <c r="AT53" i="8" s="1"/>
  <c r="AL53" i="8"/>
  <c r="AU40" i="8"/>
  <c r="AU51" i="8" s="1"/>
  <c r="AU39" i="8"/>
  <c r="AU50" i="8" s="1"/>
  <c r="AU38" i="8"/>
  <c r="AU49" i="8" s="1"/>
  <c r="AU37" i="8"/>
  <c r="AU48" i="8" s="1"/>
  <c r="AU36" i="8"/>
  <c r="AU47" i="8" s="1"/>
  <c r="AU35" i="8"/>
  <c r="AU46" i="8" s="1"/>
  <c r="AQ40" i="8"/>
  <c r="AQ51" i="8" s="1"/>
  <c r="AQ39" i="8"/>
  <c r="AQ50" i="8" s="1"/>
  <c r="AQ38" i="8"/>
  <c r="AQ49" i="8" s="1"/>
  <c r="AQ37" i="8"/>
  <c r="AQ48" i="8" s="1"/>
  <c r="AQ36" i="8"/>
  <c r="AQ47" i="8" s="1"/>
  <c r="AQ35" i="8"/>
  <c r="AQ46" i="8" s="1"/>
  <c r="AM40" i="8"/>
  <c r="AM51" i="8" s="1"/>
  <c r="AM39" i="8"/>
  <c r="AM50" i="8" s="1"/>
  <c r="AM38" i="8"/>
  <c r="AM49" i="8" s="1"/>
  <c r="AM37" i="8"/>
  <c r="AM48" i="8" s="1"/>
  <c r="AM36" i="8"/>
  <c r="AM47" i="8" s="1"/>
  <c r="AS41" i="8"/>
  <c r="AO41" i="8"/>
  <c r="AK41" i="8"/>
  <c r="X25" i="8"/>
  <c r="R24" i="8" s="1"/>
  <c r="AF28" i="8"/>
  <c r="X26" i="8"/>
  <c r="C24" i="8" s="1"/>
  <c r="X19" i="8"/>
  <c r="P11" i="8" s="1"/>
  <c r="Y17" i="8"/>
  <c r="P16" i="8" s="1"/>
  <c r="X17" i="8"/>
  <c r="O16" i="8" s="1"/>
  <c r="Y15" i="8"/>
  <c r="L15" i="8" s="1"/>
  <c r="X15" i="8"/>
  <c r="H15" i="8" s="1"/>
  <c r="Y14" i="8"/>
  <c r="L14" i="8" s="1"/>
  <c r="X14" i="8"/>
  <c r="H14" i="8" s="1"/>
  <c r="Y13" i="8"/>
  <c r="L13" i="8" s="1"/>
  <c r="X13" i="8"/>
  <c r="H13" i="8" s="1"/>
  <c r="AD12" i="8"/>
  <c r="AD15" i="8"/>
  <c r="Z15" i="8" s="1"/>
  <c r="M15" i="8" s="1"/>
  <c r="AD14" i="8"/>
  <c r="AD13" i="8"/>
  <c r="Z13" i="8" s="1"/>
  <c r="M13" i="8" s="1"/>
  <c r="F16" i="8"/>
  <c r="IQ77" i="7"/>
  <c r="IQ78" i="7" s="1"/>
  <c r="IQ79" i="7" s="1"/>
  <c r="IQ80" i="7" s="1"/>
  <c r="IQ81" i="7" s="1"/>
  <c r="IQ82" i="7" s="1"/>
  <c r="AP45" i="8" l="1"/>
  <c r="M30" i="8" s="1"/>
  <c r="AT45" i="8"/>
  <c r="S30" i="8" s="1"/>
  <c r="AL45" i="8"/>
  <c r="G30" i="8" s="1"/>
  <c r="AL46" i="8"/>
  <c r="G31" i="8" s="1"/>
  <c r="AO90" i="8"/>
  <c r="X30" i="8"/>
  <c r="C26" i="8" s="1"/>
  <c r="AD41" i="8"/>
  <c r="L37" i="8" s="1"/>
  <c r="Z41" i="8"/>
  <c r="F37" i="8" s="1"/>
  <c r="X44" i="8"/>
  <c r="X33" i="8"/>
  <c r="D29" i="8" s="1"/>
  <c r="Y41" i="8"/>
  <c r="E37" i="8" s="1"/>
  <c r="AC41" i="8"/>
  <c r="K37" i="8" s="1"/>
  <c r="AG41" i="8"/>
  <c r="Q37" i="8" s="1"/>
  <c r="X41" i="8"/>
  <c r="D37" i="8" s="1"/>
  <c r="AB41" i="8"/>
  <c r="J37" i="8" s="1"/>
  <c r="AF41" i="8"/>
  <c r="P37" i="8" s="1"/>
  <c r="AL48" i="8"/>
  <c r="G33" i="8" s="1"/>
  <c r="AL50" i="8"/>
  <c r="G35" i="8" s="1"/>
  <c r="AP46" i="8"/>
  <c r="M31" i="8" s="1"/>
  <c r="AP48" i="8"/>
  <c r="M33" i="8" s="1"/>
  <c r="AP50" i="8"/>
  <c r="M35" i="8" s="1"/>
  <c r="AT46" i="8"/>
  <c r="S31" i="8" s="1"/>
  <c r="AT48" i="8"/>
  <c r="S33" i="8" s="1"/>
  <c r="AT50" i="8"/>
  <c r="S35" i="8" s="1"/>
  <c r="D30" i="8"/>
  <c r="Z34" i="8"/>
  <c r="F30" i="8" s="1"/>
  <c r="AC34" i="8"/>
  <c r="K30" i="8" s="1"/>
  <c r="AF34" i="8"/>
  <c r="P30" i="8" s="1"/>
  <c r="AH34" i="8"/>
  <c r="R30" i="8" s="1"/>
  <c r="Y35" i="8"/>
  <c r="E31" i="8" s="1"/>
  <c r="AB35" i="8"/>
  <c r="J31" i="8" s="1"/>
  <c r="AD35" i="8"/>
  <c r="L31" i="8" s="1"/>
  <c r="AG35" i="8"/>
  <c r="Q31" i="8" s="1"/>
  <c r="X36" i="8"/>
  <c r="D32" i="8" s="1"/>
  <c r="Z36" i="8"/>
  <c r="F32" i="8" s="1"/>
  <c r="AC36" i="8"/>
  <c r="K32" i="8" s="1"/>
  <c r="AF36" i="8"/>
  <c r="P32" i="8" s="1"/>
  <c r="AH36" i="8"/>
  <c r="R32" i="8" s="1"/>
  <c r="Y37" i="8"/>
  <c r="E33" i="8" s="1"/>
  <c r="AB37" i="8"/>
  <c r="J33" i="8" s="1"/>
  <c r="AD37" i="8"/>
  <c r="L33" i="8" s="1"/>
  <c r="AG37" i="8"/>
  <c r="Q33" i="8" s="1"/>
  <c r="X38" i="8"/>
  <c r="D34" i="8" s="1"/>
  <c r="Z38" i="8"/>
  <c r="F34" i="8" s="1"/>
  <c r="AC38" i="8"/>
  <c r="K34" i="8" s="1"/>
  <c r="AF38" i="8"/>
  <c r="P34" i="8" s="1"/>
  <c r="AH38" i="8"/>
  <c r="R34" i="8" s="1"/>
  <c r="Y39" i="8"/>
  <c r="E35" i="8" s="1"/>
  <c r="AB39" i="8"/>
  <c r="J35" i="8" s="1"/>
  <c r="AD39" i="8"/>
  <c r="L35" i="8" s="1"/>
  <c r="AG39" i="8"/>
  <c r="Q35" i="8" s="1"/>
  <c r="X40" i="8"/>
  <c r="D36" i="8" s="1"/>
  <c r="Z40" i="8"/>
  <c r="F36" i="8" s="1"/>
  <c r="AC40" i="8"/>
  <c r="K36" i="8" s="1"/>
  <c r="AF40" i="8"/>
  <c r="P36" i="8" s="1"/>
  <c r="AH40" i="8"/>
  <c r="R36" i="8" s="1"/>
  <c r="Y34" i="8"/>
  <c r="E30" i="8" s="1"/>
  <c r="AB34" i="8"/>
  <c r="J30" i="8" s="1"/>
  <c r="AD34" i="8"/>
  <c r="L30" i="8" s="1"/>
  <c r="AG34" i="8"/>
  <c r="Q30" i="8" s="1"/>
  <c r="D31" i="8"/>
  <c r="Z35" i="8"/>
  <c r="F31" i="8" s="1"/>
  <c r="AC35" i="8"/>
  <c r="K31" i="8" s="1"/>
  <c r="AF35" i="8"/>
  <c r="P31" i="8" s="1"/>
  <c r="AH35" i="8"/>
  <c r="R31" i="8" s="1"/>
  <c r="Y36" i="8"/>
  <c r="E32" i="8" s="1"/>
  <c r="AB36" i="8"/>
  <c r="J32" i="8" s="1"/>
  <c r="AD36" i="8"/>
  <c r="L32" i="8" s="1"/>
  <c r="AG36" i="8"/>
  <c r="Q32" i="8" s="1"/>
  <c r="X37" i="8"/>
  <c r="D33" i="8" s="1"/>
  <c r="Z37" i="8"/>
  <c r="AC37" i="8"/>
  <c r="K33" i="8" s="1"/>
  <c r="AF37" i="8"/>
  <c r="P33" i="8" s="1"/>
  <c r="AH37" i="8"/>
  <c r="R33" i="8" s="1"/>
  <c r="Y38" i="8"/>
  <c r="E34" i="8" s="1"/>
  <c r="AB38" i="8"/>
  <c r="J34" i="8" s="1"/>
  <c r="AD38" i="8"/>
  <c r="L34" i="8" s="1"/>
  <c r="AG38" i="8"/>
  <c r="Q34" i="8" s="1"/>
  <c r="X39" i="8"/>
  <c r="Z39" i="8"/>
  <c r="F35" i="8" s="1"/>
  <c r="AC39" i="8"/>
  <c r="K35" i="8" s="1"/>
  <c r="AF39" i="8"/>
  <c r="P35" i="8" s="1"/>
  <c r="AH39" i="8"/>
  <c r="R35" i="8" s="1"/>
  <c r="Y40" i="8"/>
  <c r="E36" i="8" s="1"/>
  <c r="AB40" i="8"/>
  <c r="J36" i="8" s="1"/>
  <c r="AD40" i="8"/>
  <c r="L36" i="8" s="1"/>
  <c r="AG40" i="8"/>
  <c r="Q36" i="8" s="1"/>
  <c r="X31" i="8"/>
  <c r="C27" i="8" s="1"/>
  <c r="AL47" i="8"/>
  <c r="G32" i="8" s="1"/>
  <c r="AL49" i="8"/>
  <c r="G34" i="8" s="1"/>
  <c r="AL51" i="8"/>
  <c r="G36" i="8" s="1"/>
  <c r="AJ53" i="8"/>
  <c r="F38" i="8" s="1"/>
  <c r="AP47" i="8"/>
  <c r="M32" i="8" s="1"/>
  <c r="AP49" i="8"/>
  <c r="M34" i="8" s="1"/>
  <c r="AP51" i="8"/>
  <c r="M36" i="8" s="1"/>
  <c r="AT47" i="8"/>
  <c r="S32" i="8" s="1"/>
  <c r="AT49" i="8"/>
  <c r="S34" i="8" s="1"/>
  <c r="AT51" i="8"/>
  <c r="S36" i="8" s="1"/>
  <c r="AR53" i="8"/>
  <c r="R38" i="8" s="1"/>
  <c r="X29" i="8"/>
  <c r="Z51" i="8" s="1"/>
  <c r="X52" i="8" s="1"/>
  <c r="C47" i="8" s="1"/>
  <c r="AM41" i="8"/>
  <c r="AM42" i="8" s="1"/>
  <c r="AG50" i="8"/>
  <c r="AM52" i="8"/>
  <c r="AL52" i="8" s="1"/>
  <c r="G37" i="8" s="1"/>
  <c r="C39" i="8"/>
  <c r="AP53" i="8"/>
  <c r="AN53" i="8" s="1"/>
  <c r="L38" i="8" s="1"/>
  <c r="AQ41" i="8"/>
  <c r="AW42" i="8"/>
  <c r="AX42" i="8" s="1"/>
  <c r="AU41" i="8"/>
  <c r="F33" i="8"/>
  <c r="D35" i="8"/>
  <c r="AF29" i="8"/>
  <c r="AD27" i="8" s="1"/>
  <c r="AG14" i="8"/>
  <c r="AH14" i="8" s="1"/>
  <c r="Z14" i="8"/>
  <c r="M14" i="8" s="1"/>
  <c r="AD16" i="8"/>
  <c r="IQ83" i="7"/>
  <c r="IQ84" i="7" s="1"/>
  <c r="IQ85" i="7" s="1"/>
  <c r="IQ86" i="7" s="1"/>
  <c r="IQ87" i="7" s="1"/>
  <c r="IQ88" i="7" s="1"/>
  <c r="IQ89" i="7" s="1"/>
  <c r="IQ90" i="7" s="1"/>
  <c r="IQ91" i="7" s="1"/>
  <c r="IQ92" i="7" s="1"/>
  <c r="IQ93" i="7" s="1"/>
  <c r="IQ94" i="7" s="1"/>
  <c r="IQ95" i="7" s="1"/>
  <c r="IQ96" i="7" s="1"/>
  <c r="IQ97" i="7" s="1"/>
  <c r="IQ98" i="7" s="1"/>
  <c r="IQ99" i="7" s="1"/>
  <c r="IQ100" i="7" s="1"/>
  <c r="IQ101" i="7" s="1"/>
  <c r="IQ102" i="7" s="1"/>
  <c r="IQ103" i="7" s="1"/>
  <c r="IQ104" i="7" s="1"/>
  <c r="IQ105" i="7" s="1"/>
  <c r="IQ106" i="7" s="1"/>
  <c r="IQ107" i="7" s="1"/>
  <c r="IQ108" i="7" s="1"/>
  <c r="IQ109" i="7" s="1"/>
  <c r="IQ110" i="7" s="1"/>
  <c r="IQ111" i="7" s="1"/>
  <c r="IQ112" i="7" s="1"/>
  <c r="IQ113" i="7" s="1"/>
  <c r="IQ114" i="7" s="1"/>
  <c r="IQ115" i="7" s="1"/>
  <c r="IQ116" i="7" s="1"/>
  <c r="AL56" i="7"/>
  <c r="CX97" i="7"/>
  <c r="EM27" i="7"/>
  <c r="EN27" i="7" s="1"/>
  <c r="EE3" i="7"/>
  <c r="EE4" i="7" s="1"/>
  <c r="EE5" i="7" s="1"/>
  <c r="EE6" i="7" s="1"/>
  <c r="EE7" i="7" s="1"/>
  <c r="EE8" i="7" s="1"/>
  <c r="EE9" i="7" s="1"/>
  <c r="EE10" i="7" s="1"/>
  <c r="EE11" i="7" s="1"/>
  <c r="EE12" i="7" s="1"/>
  <c r="EE13" i="7" s="1"/>
  <c r="EE14" i="7" s="1"/>
  <c r="EE15" i="7" s="1"/>
  <c r="EE16" i="7" s="1"/>
  <c r="EE17" i="7" s="1"/>
  <c r="EE18" i="7" s="1"/>
  <c r="EE19" i="7" s="1"/>
  <c r="EE20" i="7" s="1"/>
  <c r="EE21" i="7" s="1"/>
  <c r="EE22" i="7" s="1"/>
  <c r="EE23" i="7" s="1"/>
  <c r="EE24" i="7" s="1"/>
  <c r="EE25" i="7" s="1"/>
  <c r="EP3" i="7"/>
  <c r="EO4" i="7"/>
  <c r="EP4" i="7" s="1"/>
  <c r="CT73" i="7"/>
  <c r="CT72" i="7"/>
  <c r="CT96" i="7"/>
  <c r="CT95" i="7"/>
  <c r="CT94" i="7"/>
  <c r="CT92" i="7"/>
  <c r="CT91" i="7"/>
  <c r="CT90" i="7"/>
  <c r="CT89" i="7"/>
  <c r="CT88" i="7"/>
  <c r="CT87" i="7"/>
  <c r="CT86" i="7"/>
  <c r="CT85" i="7"/>
  <c r="CT84" i="7"/>
  <c r="CT82" i="7"/>
  <c r="CT81" i="7"/>
  <c r="CT80" i="7"/>
  <c r="CT79" i="7"/>
  <c r="CT78" i="7"/>
  <c r="CT77" i="7"/>
  <c r="CT76" i="7"/>
  <c r="CT71" i="7"/>
  <c r="CT70" i="7"/>
  <c r="CT69" i="7"/>
  <c r="CT68" i="7"/>
  <c r="CT67" i="7"/>
  <c r="CT66" i="7"/>
  <c r="CT65" i="7"/>
  <c r="CT64" i="7"/>
  <c r="CT75" i="7"/>
  <c r="CS96" i="7"/>
  <c r="CS95" i="7"/>
  <c r="CS92" i="7"/>
  <c r="CR92" i="7"/>
  <c r="CN90" i="7"/>
  <c r="CN91" i="7" s="1"/>
  <c r="DQ37" i="7"/>
  <c r="DQ38" i="7" s="1"/>
  <c r="DQ39" i="7" s="1"/>
  <c r="DQ40" i="7" s="1"/>
  <c r="DQ41" i="7" s="1"/>
  <c r="DQ42" i="7" s="1"/>
  <c r="DQ43" i="7" s="1"/>
  <c r="DQ44" i="7" s="1"/>
  <c r="DQ45" i="7" s="1"/>
  <c r="DQ46" i="7" s="1"/>
  <c r="DQ47" i="7" s="1"/>
  <c r="AQ156" i="7"/>
  <c r="Y73" i="8" l="1"/>
  <c r="Y60" i="8"/>
  <c r="C57" i="8" s="1"/>
  <c r="Y71" i="8"/>
  <c r="C71" i="8" s="1"/>
  <c r="Y55" i="8"/>
  <c r="S54" i="8" s="1"/>
  <c r="AD17" i="8"/>
  <c r="Z17" i="8" s="1"/>
  <c r="R16" i="8" s="1"/>
  <c r="X16" i="8"/>
  <c r="M16" i="8" s="1"/>
  <c r="AH61" i="8"/>
  <c r="N62" i="8" s="1"/>
  <c r="AD69" i="8"/>
  <c r="G69" i="8" s="1"/>
  <c r="AI67" i="8"/>
  <c r="R68" i="8" s="1"/>
  <c r="AI63" i="8"/>
  <c r="R64" i="8" s="1"/>
  <c r="AH68" i="8"/>
  <c r="N69" i="8" s="1"/>
  <c r="AH66" i="8"/>
  <c r="N67" i="8" s="1"/>
  <c r="AH64" i="8"/>
  <c r="N65" i="8" s="1"/>
  <c r="AH62" i="8"/>
  <c r="N63" i="8" s="1"/>
  <c r="AG69" i="8"/>
  <c r="J69" i="8" s="1"/>
  <c r="AA69" i="8"/>
  <c r="D69" i="8" s="1"/>
  <c r="AI68" i="8"/>
  <c r="R69" i="8" s="1"/>
  <c r="AI66" i="8"/>
  <c r="R67" i="8" s="1"/>
  <c r="AI64" i="8"/>
  <c r="R65" i="8" s="1"/>
  <c r="AI62" i="8"/>
  <c r="R63" i="8" s="1"/>
  <c r="AH67" i="8"/>
  <c r="N68" i="8" s="1"/>
  <c r="AH65" i="8"/>
  <c r="N66" i="8" s="1"/>
  <c r="AH63" i="8"/>
  <c r="N64" i="8" s="1"/>
  <c r="AF68" i="8"/>
  <c r="K68" i="8" s="1"/>
  <c r="AF67" i="8"/>
  <c r="K67" i="8" s="1"/>
  <c r="AF66" i="8"/>
  <c r="K66" i="8" s="1"/>
  <c r="AF65" i="8"/>
  <c r="K65" i="8" s="1"/>
  <c r="AF64" i="8"/>
  <c r="K64" i="8" s="1"/>
  <c r="AF63" i="8"/>
  <c r="K63" i="8" s="1"/>
  <c r="AF62" i="8"/>
  <c r="K62" i="8" s="1"/>
  <c r="AD68" i="8"/>
  <c r="I68" i="8" s="1"/>
  <c r="AB68" i="8"/>
  <c r="G68" i="8" s="1"/>
  <c r="Z68" i="8"/>
  <c r="E68" i="8" s="1"/>
  <c r="AD67" i="8"/>
  <c r="I67" i="8" s="1"/>
  <c r="AB67" i="8"/>
  <c r="G67" i="8" s="1"/>
  <c r="Z67" i="8"/>
  <c r="E67" i="8" s="1"/>
  <c r="AD66" i="8"/>
  <c r="I66" i="8" s="1"/>
  <c r="AB66" i="8"/>
  <c r="G66" i="8" s="1"/>
  <c r="Z66" i="8"/>
  <c r="E66" i="8" s="1"/>
  <c r="AD65" i="8"/>
  <c r="I65" i="8" s="1"/>
  <c r="AB65" i="8"/>
  <c r="G65" i="8" s="1"/>
  <c r="Z65" i="8"/>
  <c r="E65" i="8" s="1"/>
  <c r="AD64" i="8"/>
  <c r="I64" i="8" s="1"/>
  <c r="AB64" i="8"/>
  <c r="G64" i="8" s="1"/>
  <c r="Z64" i="8"/>
  <c r="E64" i="8" s="1"/>
  <c r="AD63" i="8"/>
  <c r="I63" i="8" s="1"/>
  <c r="AB63" i="8"/>
  <c r="G63" i="8" s="1"/>
  <c r="Z63" i="8"/>
  <c r="E63" i="8" s="1"/>
  <c r="AD62" i="8"/>
  <c r="I62" i="8" s="1"/>
  <c r="AB62" i="8"/>
  <c r="G62" i="8" s="1"/>
  <c r="Z62" i="8"/>
  <c r="E62" i="8" s="1"/>
  <c r="Y67" i="8"/>
  <c r="D67" i="8" s="1"/>
  <c r="Y65" i="8"/>
  <c r="D65" i="8" s="1"/>
  <c r="Y63" i="8"/>
  <c r="D63" i="8" s="1"/>
  <c r="Y66" i="8"/>
  <c r="D66" i="8" s="1"/>
  <c r="Y62" i="8"/>
  <c r="D62" i="8" s="1"/>
  <c r="AG68" i="8"/>
  <c r="L68" i="8" s="1"/>
  <c r="AG67" i="8"/>
  <c r="L67" i="8" s="1"/>
  <c r="AG66" i="8"/>
  <c r="L66" i="8" s="1"/>
  <c r="AG65" i="8"/>
  <c r="L65" i="8" s="1"/>
  <c r="AG64" i="8"/>
  <c r="L64" i="8" s="1"/>
  <c r="AG63" i="8"/>
  <c r="L63" i="8" s="1"/>
  <c r="AG62" i="8"/>
  <c r="L62" i="8" s="1"/>
  <c r="AE68" i="8"/>
  <c r="J68" i="8" s="1"/>
  <c r="AC68" i="8"/>
  <c r="H68" i="8" s="1"/>
  <c r="AA68" i="8"/>
  <c r="F68" i="8" s="1"/>
  <c r="AE67" i="8"/>
  <c r="J67" i="8" s="1"/>
  <c r="AC67" i="8"/>
  <c r="H67" i="8" s="1"/>
  <c r="AA67" i="8"/>
  <c r="F67" i="8" s="1"/>
  <c r="AE66" i="8"/>
  <c r="J66" i="8" s="1"/>
  <c r="AC66" i="8"/>
  <c r="H66" i="8" s="1"/>
  <c r="AA66" i="8"/>
  <c r="F66" i="8" s="1"/>
  <c r="AE65" i="8"/>
  <c r="J65" i="8" s="1"/>
  <c r="AC65" i="8"/>
  <c r="H65" i="8" s="1"/>
  <c r="AA65" i="8"/>
  <c r="F65" i="8" s="1"/>
  <c r="AE64" i="8"/>
  <c r="J64" i="8" s="1"/>
  <c r="AC64" i="8"/>
  <c r="H64" i="8" s="1"/>
  <c r="AA64" i="8"/>
  <c r="F64" i="8" s="1"/>
  <c r="AE63" i="8"/>
  <c r="J63" i="8" s="1"/>
  <c r="AC63" i="8"/>
  <c r="H63" i="8" s="1"/>
  <c r="AA63" i="8"/>
  <c r="F63" i="8" s="1"/>
  <c r="AE62" i="8"/>
  <c r="J62" i="8" s="1"/>
  <c r="AC62" i="8"/>
  <c r="H62" i="8" s="1"/>
  <c r="AA62" i="8"/>
  <c r="F62" i="8" s="1"/>
  <c r="Y68" i="8"/>
  <c r="D68" i="8" s="1"/>
  <c r="Y64" i="8"/>
  <c r="D64" i="8" s="1"/>
  <c r="Y61" i="8"/>
  <c r="D61" i="8" s="1"/>
  <c r="Y56" i="8"/>
  <c r="AB27" i="8"/>
  <c r="AM53" i="8"/>
  <c r="AM54" i="8" s="1"/>
  <c r="AL54" i="8" s="1"/>
  <c r="G38" i="8" s="1"/>
  <c r="AI59" i="8"/>
  <c r="Q54" i="8" s="1"/>
  <c r="AI57" i="8"/>
  <c r="Q52" i="8" s="1"/>
  <c r="AI58" i="8"/>
  <c r="Q53" i="8" s="1"/>
  <c r="AA56" i="8"/>
  <c r="D51" i="8" s="1"/>
  <c r="AG59" i="8"/>
  <c r="M54" i="8" s="1"/>
  <c r="AG57" i="8"/>
  <c r="M52" i="8" s="1"/>
  <c r="AE59" i="8"/>
  <c r="H54" i="8" s="1"/>
  <c r="AE57" i="8"/>
  <c r="H52" i="8" s="1"/>
  <c r="AA59" i="8"/>
  <c r="D54" i="8" s="1"/>
  <c r="AA57" i="8"/>
  <c r="D52" i="8" s="1"/>
  <c r="AG56" i="8"/>
  <c r="M51" i="8" s="1"/>
  <c r="AG58" i="8"/>
  <c r="M53" i="8" s="1"/>
  <c r="AE58" i="8"/>
  <c r="H53" i="8" s="1"/>
  <c r="AA58" i="8"/>
  <c r="D53" i="8" s="1"/>
  <c r="X51" i="8"/>
  <c r="C45" i="8" s="1"/>
  <c r="AE48" i="8"/>
  <c r="AC48" i="8" s="1"/>
  <c r="X48" i="8" s="1"/>
  <c r="C44" i="8" s="1"/>
  <c r="AZ42" i="8"/>
  <c r="AU52" i="8"/>
  <c r="AT52" i="8" s="1"/>
  <c r="S37" i="8" s="1"/>
  <c r="AQ42" i="8"/>
  <c r="AN43" i="8" s="1"/>
  <c r="AQ52" i="8"/>
  <c r="AP52" i="8" s="1"/>
  <c r="M37" i="8" s="1"/>
  <c r="EO5" i="7"/>
  <c r="CU62" i="7"/>
  <c r="CU57" i="7"/>
  <c r="G58" i="6"/>
  <c r="A7" i="4"/>
  <c r="A8" i="4" s="1"/>
  <c r="A9" i="4" s="1"/>
  <c r="A10" i="4" s="1"/>
  <c r="A11" i="4" s="1"/>
  <c r="A12" i="4" s="1"/>
  <c r="A13" i="4" s="1"/>
  <c r="A14" i="4" s="1"/>
  <c r="A15" i="4" s="1"/>
  <c r="A16" i="4" s="1"/>
  <c r="A17" i="4" s="1"/>
  <c r="A18" i="4" s="1"/>
  <c r="A19" i="4" s="1"/>
  <c r="C11" i="4"/>
  <c r="C12" i="4" s="1"/>
  <c r="C13" i="4" s="1"/>
  <c r="C15" i="4" s="1"/>
  <c r="C16" i="4" s="1"/>
  <c r="C17" i="4" s="1"/>
  <c r="C18" i="4" s="1"/>
  <c r="C19" i="4" s="1"/>
  <c r="CU56" i="7"/>
  <c r="HE34" i="7"/>
  <c r="HL34" i="7" s="1"/>
  <c r="HS34" i="7" s="1"/>
  <c r="HZ34" i="7" s="1"/>
  <c r="EL34" i="7"/>
  <c r="ES34" i="7" s="1"/>
  <c r="EZ34" i="7" s="1"/>
  <c r="FG34" i="7" s="1"/>
  <c r="FN34" i="7" s="1"/>
  <c r="FU34" i="7" s="1"/>
  <c r="GB34" i="7" s="1"/>
  <c r="GN5" i="7"/>
  <c r="GN6" i="7" s="1"/>
  <c r="DU5" i="7"/>
  <c r="DU6" i="7" s="1"/>
  <c r="CD14" i="7"/>
  <c r="CE14" i="7" s="1"/>
  <c r="AB110" i="8" l="1"/>
  <c r="AF89" i="8"/>
  <c r="I89" i="8" s="1"/>
  <c r="A88" i="4"/>
  <c r="A20" i="4"/>
  <c r="C88" i="4"/>
  <c r="C20" i="4"/>
  <c r="Y59" i="8"/>
  <c r="AL55" i="8" s="1"/>
  <c r="AA55" i="8" s="1"/>
  <c r="D55" i="8" s="1"/>
  <c r="AR92" i="8"/>
  <c r="AO89" i="8"/>
  <c r="R89" i="8" s="1"/>
  <c r="AI108" i="8"/>
  <c r="AI110" i="8" s="1"/>
  <c r="L110" i="8" s="1"/>
  <c r="AR93" i="8"/>
  <c r="AA27" i="8"/>
  <c r="C25" i="8" s="1"/>
  <c r="AL94" i="8"/>
  <c r="O94" i="8" s="1"/>
  <c r="AL95" i="8"/>
  <c r="O95" i="8" s="1"/>
  <c r="AC94" i="8"/>
  <c r="F94" i="8" s="1"/>
  <c r="AG94" i="8"/>
  <c r="AJ86" i="8"/>
  <c r="M86" i="8" s="1"/>
  <c r="AO95" i="8"/>
  <c r="R95" i="8" s="1"/>
  <c r="AO94" i="8"/>
  <c r="R94" i="8" s="1"/>
  <c r="AK94" i="8"/>
  <c r="N94" i="8" s="1"/>
  <c r="AL93" i="8"/>
  <c r="O93" i="8" s="1"/>
  <c r="AJ93" i="8"/>
  <c r="M93" i="8" s="1"/>
  <c r="AL92" i="8"/>
  <c r="O92" i="8" s="1"/>
  <c r="AJ92" i="8"/>
  <c r="M92" i="8" s="1"/>
  <c r="AL91" i="8"/>
  <c r="O91" i="8" s="1"/>
  <c r="AJ91" i="8"/>
  <c r="M91" i="8" s="1"/>
  <c r="AL90" i="8"/>
  <c r="O90" i="8" s="1"/>
  <c r="AJ90" i="8"/>
  <c r="M90" i="8" s="1"/>
  <c r="AL89" i="8"/>
  <c r="O89" i="8" s="1"/>
  <c r="AJ89" i="8"/>
  <c r="M89" i="8" s="1"/>
  <c r="AL88" i="8"/>
  <c r="O88" i="8" s="1"/>
  <c r="AJ88" i="8"/>
  <c r="M88" i="8" s="1"/>
  <c r="AL87" i="8"/>
  <c r="O87" i="8" s="1"/>
  <c r="AJ87" i="8"/>
  <c r="M87" i="8" s="1"/>
  <c r="AG95" i="8"/>
  <c r="AD95" i="8"/>
  <c r="G95" i="8" s="1"/>
  <c r="AD94" i="8"/>
  <c r="G94" i="8" s="1"/>
  <c r="AC93" i="8"/>
  <c r="F93" i="8" s="1"/>
  <c r="AC92" i="8"/>
  <c r="F92" i="8" s="1"/>
  <c r="AC91" i="8"/>
  <c r="F91" i="8" s="1"/>
  <c r="AC90" i="8"/>
  <c r="F90" i="8" s="1"/>
  <c r="AC89" i="8"/>
  <c r="F89" i="8" s="1"/>
  <c r="AC88" i="8"/>
  <c r="F88" i="8" s="1"/>
  <c r="AC87" i="8"/>
  <c r="F87" i="8" s="1"/>
  <c r="AB93" i="8"/>
  <c r="E93" i="8" s="1"/>
  <c r="AB91" i="8"/>
  <c r="E91" i="8" s="1"/>
  <c r="AB89" i="8"/>
  <c r="E89" i="8" s="1"/>
  <c r="AB87" i="8"/>
  <c r="E87" i="8" s="1"/>
  <c r="AA92" i="8"/>
  <c r="D92" i="8" s="1"/>
  <c r="AA90" i="8"/>
  <c r="D90" i="8" s="1"/>
  <c r="AA88" i="8"/>
  <c r="D88" i="8" s="1"/>
  <c r="AA86" i="8"/>
  <c r="D86" i="8" s="1"/>
  <c r="Z80" i="8"/>
  <c r="C80" i="8" s="1"/>
  <c r="Z74" i="8"/>
  <c r="AP95" i="8"/>
  <c r="AQ95" i="8" s="1"/>
  <c r="AM95" i="8"/>
  <c r="P95" i="8" s="1"/>
  <c r="AP94" i="8"/>
  <c r="AM94" i="8"/>
  <c r="P94" i="8" s="1"/>
  <c r="AM93" i="8"/>
  <c r="P93" i="8" s="1"/>
  <c r="AK93" i="8"/>
  <c r="N93" i="8" s="1"/>
  <c r="AM92" i="8"/>
  <c r="P92" i="8" s="1"/>
  <c r="AK92" i="8"/>
  <c r="N92" i="8" s="1"/>
  <c r="AM91" i="8"/>
  <c r="P91" i="8" s="1"/>
  <c r="AK91" i="8"/>
  <c r="N91" i="8" s="1"/>
  <c r="AM90" i="8"/>
  <c r="P90" i="8" s="1"/>
  <c r="AK90" i="8"/>
  <c r="N90" i="8" s="1"/>
  <c r="AM89" i="8"/>
  <c r="P89" i="8" s="1"/>
  <c r="AK89" i="8"/>
  <c r="N89" i="8" s="1"/>
  <c r="AM88" i="8"/>
  <c r="P88" i="8" s="1"/>
  <c r="AK88" i="8"/>
  <c r="N88" i="8" s="1"/>
  <c r="AM87" i="8"/>
  <c r="P87" i="8" s="1"/>
  <c r="AK87" i="8"/>
  <c r="N87" i="8" s="1"/>
  <c r="AF95" i="8"/>
  <c r="I95" i="8" s="1"/>
  <c r="AF94" i="8"/>
  <c r="I94" i="8" s="1"/>
  <c r="AC95" i="8"/>
  <c r="F95" i="8" s="1"/>
  <c r="AD93" i="8"/>
  <c r="G93" i="8" s="1"/>
  <c r="AD92" i="8"/>
  <c r="G92" i="8" s="1"/>
  <c r="AD91" i="8"/>
  <c r="G91" i="8" s="1"/>
  <c r="AD90" i="8"/>
  <c r="G90" i="8" s="1"/>
  <c r="AD89" i="8"/>
  <c r="G89" i="8" s="1"/>
  <c r="AD88" i="8"/>
  <c r="G88" i="8" s="1"/>
  <c r="AD87" i="8"/>
  <c r="G87" i="8" s="1"/>
  <c r="AB94" i="8"/>
  <c r="E94" i="8" s="1"/>
  <c r="AB92" i="8"/>
  <c r="E92" i="8" s="1"/>
  <c r="AB90" i="8"/>
  <c r="E90" i="8" s="1"/>
  <c r="AB88" i="8"/>
  <c r="E88" i="8" s="1"/>
  <c r="AA93" i="8"/>
  <c r="D93" i="8" s="1"/>
  <c r="AA91" i="8"/>
  <c r="D91" i="8" s="1"/>
  <c r="AA89" i="8"/>
  <c r="D89" i="8" s="1"/>
  <c r="AA87" i="8"/>
  <c r="D87" i="8" s="1"/>
  <c r="Z81" i="8"/>
  <c r="C81" i="8" s="1"/>
  <c r="Z75" i="8"/>
  <c r="C75" i="8" s="1"/>
  <c r="AK53" i="8"/>
  <c r="AQ53" i="8"/>
  <c r="AQ54" i="8" s="1"/>
  <c r="AP54" i="8" s="1"/>
  <c r="M38" i="8" s="1"/>
  <c r="AY42" i="8"/>
  <c r="BA42" i="8" s="1"/>
  <c r="BB42" i="8" s="1"/>
  <c r="J52" i="8"/>
  <c r="AU43" i="8"/>
  <c r="AU53" i="8"/>
  <c r="EO6" i="7"/>
  <c r="EP5" i="7"/>
  <c r="GN7" i="7"/>
  <c r="GO6" i="7"/>
  <c r="GO5" i="7"/>
  <c r="DU7" i="7"/>
  <c r="DV6" i="7"/>
  <c r="DV5" i="7"/>
  <c r="CD15" i="7"/>
  <c r="AY13" i="7"/>
  <c r="BD13" i="7"/>
  <c r="AY14" i="7"/>
  <c r="AZ14" i="7"/>
  <c r="BA14" i="7"/>
  <c r="BB14" i="7"/>
  <c r="BD14" i="7"/>
  <c r="BE14" i="7"/>
  <c r="BF14" i="7"/>
  <c r="BG14" i="7"/>
  <c r="BI14" i="7"/>
  <c r="BJ14" i="7"/>
  <c r="BK14" i="7"/>
  <c r="BL14" i="7"/>
  <c r="BE15" i="7"/>
  <c r="BF15" i="7"/>
  <c r="DS15" i="7" s="1"/>
  <c r="BJ15" i="7"/>
  <c r="BK15" i="7"/>
  <c r="GL15" i="7" s="1"/>
  <c r="CB16" i="7"/>
  <c r="BE16" i="7"/>
  <c r="BF16" i="7"/>
  <c r="DS16" i="7" s="1"/>
  <c r="BJ16" i="7"/>
  <c r="BK16" i="7"/>
  <c r="GL16" i="7" s="1"/>
  <c r="CB17" i="7"/>
  <c r="BE17" i="7"/>
  <c r="BF17" i="7"/>
  <c r="DS17" i="7" s="1"/>
  <c r="BJ17" i="7"/>
  <c r="BK17" i="7"/>
  <c r="GL17" i="7" s="1"/>
  <c r="CB18" i="7"/>
  <c r="BE18" i="7"/>
  <c r="BF18" i="7"/>
  <c r="DS18" i="7" s="1"/>
  <c r="BJ18" i="7"/>
  <c r="BK18" i="7"/>
  <c r="GL18" i="7" s="1"/>
  <c r="CB19" i="7"/>
  <c r="BE19" i="7"/>
  <c r="BF19" i="7"/>
  <c r="DS19" i="7" s="1"/>
  <c r="BJ19" i="7"/>
  <c r="BK19" i="7"/>
  <c r="GL19" i="7" s="1"/>
  <c r="CB20" i="7"/>
  <c r="BE20" i="7"/>
  <c r="BF20" i="7"/>
  <c r="DS20" i="7" s="1"/>
  <c r="BJ20" i="7"/>
  <c r="BK20" i="7"/>
  <c r="GL20" i="7" s="1"/>
  <c r="CB21" i="7"/>
  <c r="BE21" i="7"/>
  <c r="BF21" i="7"/>
  <c r="DS21" i="7" s="1"/>
  <c r="BJ21" i="7"/>
  <c r="BK21" i="7"/>
  <c r="GL21" i="7" s="1"/>
  <c r="CB22" i="7"/>
  <c r="BE22" i="7"/>
  <c r="BF22" i="7"/>
  <c r="DS22" i="7" s="1"/>
  <c r="BJ22" i="7"/>
  <c r="BK22" i="7"/>
  <c r="GL22" i="7" s="1"/>
  <c r="CB23" i="7"/>
  <c r="BE23" i="7"/>
  <c r="BF23" i="7"/>
  <c r="DS23" i="7" s="1"/>
  <c r="BJ23" i="7"/>
  <c r="BK23" i="7"/>
  <c r="GL23" i="7" s="1"/>
  <c r="CB24" i="7"/>
  <c r="BE24" i="7"/>
  <c r="BF24" i="7"/>
  <c r="DS24" i="7" s="1"/>
  <c r="BJ24" i="7"/>
  <c r="BK24" i="7"/>
  <c r="GL24" i="7" s="1"/>
  <c r="AZ25" i="7"/>
  <c r="BA25" i="7"/>
  <c r="CB27" i="7" s="1"/>
  <c r="BE25" i="7"/>
  <c r="BF25" i="7"/>
  <c r="DS25" i="7" s="1"/>
  <c r="BJ25" i="7"/>
  <c r="BK25" i="7"/>
  <c r="GL25" i="7" s="1"/>
  <c r="AZ26" i="7"/>
  <c r="BA26" i="7"/>
  <c r="CB28" i="7" s="1"/>
  <c r="BE26" i="7"/>
  <c r="BF26" i="7"/>
  <c r="DS26" i="7" s="1"/>
  <c r="BJ26" i="7"/>
  <c r="BK26" i="7"/>
  <c r="GL26" i="7" s="1"/>
  <c r="AX49" i="7"/>
  <c r="AZ183" i="7"/>
  <c r="AY183" i="7"/>
  <c r="AX183" i="7"/>
  <c r="AT182" i="7"/>
  <c r="AR182" i="7"/>
  <c r="AQ182" i="7"/>
  <c r="AT181" i="7"/>
  <c r="AR181" i="7"/>
  <c r="AQ181" i="7"/>
  <c r="AQ183" i="7" s="1"/>
  <c r="AT169" i="7"/>
  <c r="AR169" i="7"/>
  <c r="AQ169" i="7"/>
  <c r="AT168" i="7"/>
  <c r="AT170" i="7" s="1"/>
  <c r="AR168" i="7"/>
  <c r="AQ168" i="7"/>
  <c r="AN126" i="7"/>
  <c r="AM126" i="7"/>
  <c r="AG126" i="7"/>
  <c r="AF126" i="7"/>
  <c r="Z126" i="7"/>
  <c r="Y126" i="7"/>
  <c r="AN125" i="7"/>
  <c r="AM125" i="7"/>
  <c r="AG125" i="7"/>
  <c r="AF125" i="7"/>
  <c r="Z125" i="7"/>
  <c r="Y125" i="7"/>
  <c r="AN124" i="7"/>
  <c r="AM124" i="7"/>
  <c r="AG124" i="7"/>
  <c r="AF124" i="7"/>
  <c r="Z124" i="7"/>
  <c r="Y124" i="7"/>
  <c r="AN123" i="7"/>
  <c r="AM123" i="7"/>
  <c r="AG123" i="7"/>
  <c r="AF123" i="7"/>
  <c r="Z123" i="7"/>
  <c r="Y123" i="7"/>
  <c r="AN122" i="7"/>
  <c r="AM122" i="7"/>
  <c r="AG122" i="7"/>
  <c r="AF122" i="7"/>
  <c r="Z122" i="7"/>
  <c r="Y122" i="7"/>
  <c r="AN121" i="7"/>
  <c r="AM121" i="7"/>
  <c r="AG121" i="7"/>
  <c r="AF121" i="7"/>
  <c r="Z121" i="7"/>
  <c r="Y121" i="7"/>
  <c r="AN120" i="7"/>
  <c r="AM120" i="7"/>
  <c r="AG120" i="7"/>
  <c r="AF120" i="7"/>
  <c r="Z120" i="7"/>
  <c r="Y120" i="7"/>
  <c r="AN119" i="7"/>
  <c r="AM119" i="7"/>
  <c r="AG119" i="7"/>
  <c r="AF119" i="7"/>
  <c r="Z119" i="7"/>
  <c r="Y119" i="7"/>
  <c r="AN118" i="7"/>
  <c r="AM118" i="7"/>
  <c r="AG118" i="7"/>
  <c r="AF118" i="7"/>
  <c r="Z118" i="7"/>
  <c r="Y118" i="7"/>
  <c r="AN117" i="7"/>
  <c r="AM117" i="7"/>
  <c r="AG117" i="7"/>
  <c r="AF117" i="7"/>
  <c r="Z117" i="7"/>
  <c r="Y117" i="7"/>
  <c r="AN116" i="7"/>
  <c r="AM116" i="7"/>
  <c r="AG116" i="7"/>
  <c r="AF116" i="7"/>
  <c r="Z116" i="7"/>
  <c r="Y116" i="7"/>
  <c r="AN115" i="7"/>
  <c r="AM115" i="7"/>
  <c r="AG115" i="7"/>
  <c r="AG127" i="7" s="1"/>
  <c r="AF115" i="7"/>
  <c r="Z115" i="7"/>
  <c r="Y115" i="7"/>
  <c r="BK74" i="7"/>
  <c r="BI74" i="7"/>
  <c r="BH74" i="7"/>
  <c r="BG74" i="7"/>
  <c r="BF74" i="7"/>
  <c r="BE74" i="7"/>
  <c r="BD74" i="7"/>
  <c r="BC74" i="7"/>
  <c r="BB74" i="7"/>
  <c r="BA74" i="7"/>
  <c r="AZ74" i="7"/>
  <c r="AY74" i="7"/>
  <c r="AX74" i="7"/>
  <c r="BK73" i="7"/>
  <c r="BI73" i="7"/>
  <c r="BH73" i="7"/>
  <c r="BG73" i="7"/>
  <c r="BF73" i="7"/>
  <c r="BE73" i="7"/>
  <c r="BD73" i="7"/>
  <c r="BC73" i="7"/>
  <c r="BB73" i="7"/>
  <c r="BA73" i="7"/>
  <c r="AZ73" i="7"/>
  <c r="AY73" i="7"/>
  <c r="AX73" i="7"/>
  <c r="BK72" i="7"/>
  <c r="BI72" i="7"/>
  <c r="BH72" i="7"/>
  <c r="BG72" i="7"/>
  <c r="BF72" i="7"/>
  <c r="BE72" i="7"/>
  <c r="BD72" i="7"/>
  <c r="BC72" i="7"/>
  <c r="BB72" i="7"/>
  <c r="BA72" i="7"/>
  <c r="AZ72" i="7"/>
  <c r="AY72" i="7"/>
  <c r="AX72" i="7"/>
  <c r="BK71" i="7"/>
  <c r="BI71" i="7"/>
  <c r="BH71" i="7"/>
  <c r="BG71" i="7"/>
  <c r="BF71" i="7"/>
  <c r="BE71" i="7"/>
  <c r="BD71" i="7"/>
  <c r="BC71" i="7"/>
  <c r="BB71" i="7"/>
  <c r="BA71" i="7"/>
  <c r="AZ71" i="7"/>
  <c r="AY71" i="7"/>
  <c r="AX71" i="7"/>
  <c r="IR70" i="7"/>
  <c r="JO70" i="7" s="1"/>
  <c r="BK70" i="7"/>
  <c r="BI70" i="7"/>
  <c r="BH70" i="7"/>
  <c r="BG70" i="7"/>
  <c r="BF70" i="7"/>
  <c r="BE70" i="7"/>
  <c r="BD70" i="7"/>
  <c r="BC70" i="7"/>
  <c r="BB70" i="7"/>
  <c r="BA70" i="7"/>
  <c r="AZ70" i="7"/>
  <c r="AY70" i="7"/>
  <c r="AX70" i="7"/>
  <c r="IR69" i="7"/>
  <c r="JO69" i="7" s="1"/>
  <c r="BK69" i="7"/>
  <c r="BI69" i="7"/>
  <c r="BH69" i="7"/>
  <c r="BG69" i="7"/>
  <c r="BF69" i="7"/>
  <c r="BE69" i="7"/>
  <c r="BD69" i="7"/>
  <c r="BC69" i="7"/>
  <c r="BB69" i="7"/>
  <c r="BA69" i="7"/>
  <c r="AZ69" i="7"/>
  <c r="AY69" i="7"/>
  <c r="AX69" i="7"/>
  <c r="IR68" i="7"/>
  <c r="JO68" i="7" s="1"/>
  <c r="BK68" i="7"/>
  <c r="BI68" i="7"/>
  <c r="BH68" i="7"/>
  <c r="BG68" i="7"/>
  <c r="BF68" i="7"/>
  <c r="BE68" i="7"/>
  <c r="BD68" i="7"/>
  <c r="BC68" i="7"/>
  <c r="BB68" i="7"/>
  <c r="BA68" i="7"/>
  <c r="AZ68" i="7"/>
  <c r="AY68" i="7"/>
  <c r="AX68" i="7"/>
  <c r="IR67" i="7"/>
  <c r="JO67" i="7" s="1"/>
  <c r="BK67" i="7"/>
  <c r="BI67" i="7"/>
  <c r="BH67" i="7"/>
  <c r="BG67" i="7"/>
  <c r="BF67" i="7"/>
  <c r="BE67" i="7"/>
  <c r="BD67" i="7"/>
  <c r="BC67" i="7"/>
  <c r="BB67" i="7"/>
  <c r="BA67" i="7"/>
  <c r="AZ67" i="7"/>
  <c r="AY67" i="7"/>
  <c r="AX67" i="7"/>
  <c r="IR66" i="7"/>
  <c r="JO66" i="7" s="1"/>
  <c r="BK66" i="7"/>
  <c r="BI66" i="7"/>
  <c r="BH66" i="7"/>
  <c r="BG66" i="7"/>
  <c r="BF66" i="7"/>
  <c r="BE66" i="7"/>
  <c r="BD66" i="7"/>
  <c r="BC66" i="7"/>
  <c r="BB66" i="7"/>
  <c r="BA66" i="7"/>
  <c r="AZ66" i="7"/>
  <c r="AY66" i="7"/>
  <c r="AX66" i="7"/>
  <c r="IR65" i="7"/>
  <c r="JO65" i="7" s="1"/>
  <c r="BK65" i="7"/>
  <c r="BI65" i="7"/>
  <c r="BH65" i="7"/>
  <c r="BG65" i="7"/>
  <c r="BF65" i="7"/>
  <c r="BE65" i="7"/>
  <c r="BD65" i="7"/>
  <c r="BC65" i="7"/>
  <c r="BB65" i="7"/>
  <c r="BA65" i="7"/>
  <c r="AZ65" i="7"/>
  <c r="AY65" i="7"/>
  <c r="AX65" i="7"/>
  <c r="IR64" i="7"/>
  <c r="JO64" i="7" s="1"/>
  <c r="BK64" i="7"/>
  <c r="BI64" i="7"/>
  <c r="BH64" i="7"/>
  <c r="BG64" i="7"/>
  <c r="BF64" i="7"/>
  <c r="BE64" i="7"/>
  <c r="BD64" i="7"/>
  <c r="BC64" i="7"/>
  <c r="BB64" i="7"/>
  <c r="BA64" i="7"/>
  <c r="AZ64" i="7"/>
  <c r="AY64" i="7"/>
  <c r="AX64" i="7"/>
  <c r="IR63" i="7"/>
  <c r="BK63" i="7"/>
  <c r="BI63" i="7"/>
  <c r="BH63" i="7"/>
  <c r="BG63" i="7"/>
  <c r="BF63" i="7"/>
  <c r="BE63" i="7"/>
  <c r="BD63" i="7"/>
  <c r="BC63" i="7"/>
  <c r="BB63" i="7"/>
  <c r="BA63" i="7"/>
  <c r="AZ63" i="7"/>
  <c r="AY63" i="7"/>
  <c r="AX63" i="7"/>
  <c r="IR62" i="7"/>
  <c r="JQ62" i="7" s="1"/>
  <c r="IR61" i="7"/>
  <c r="JO61" i="7" s="1"/>
  <c r="IR60" i="7"/>
  <c r="JO60" i="7" s="1"/>
  <c r="BK60" i="7"/>
  <c r="BI60" i="7"/>
  <c r="BH60" i="7"/>
  <c r="BG60" i="7"/>
  <c r="BF60" i="7"/>
  <c r="BE60" i="7"/>
  <c r="BD60" i="7"/>
  <c r="BC60" i="7"/>
  <c r="BB60" i="7"/>
  <c r="BA60" i="7"/>
  <c r="AZ60" i="7"/>
  <c r="AY60" i="7"/>
  <c r="AX60" i="7"/>
  <c r="IR59" i="7"/>
  <c r="BK59" i="7"/>
  <c r="BI59" i="7"/>
  <c r="BH59" i="7"/>
  <c r="BG59" i="7"/>
  <c r="BF59" i="7"/>
  <c r="BE59" i="7"/>
  <c r="BD59" i="7"/>
  <c r="BC59" i="7"/>
  <c r="BB59" i="7"/>
  <c r="BA59" i="7"/>
  <c r="AZ59" i="7"/>
  <c r="AY59" i="7"/>
  <c r="AX59" i="7"/>
  <c r="IR58" i="7"/>
  <c r="JO58" i="7" s="1"/>
  <c r="BK58" i="7"/>
  <c r="BI58" i="7"/>
  <c r="BH58" i="7"/>
  <c r="BG58" i="7"/>
  <c r="BF58" i="7"/>
  <c r="BE58" i="7"/>
  <c r="BD58" i="7"/>
  <c r="BC58" i="7"/>
  <c r="BB58" i="7"/>
  <c r="BA58" i="7"/>
  <c r="AZ58" i="7"/>
  <c r="AY58" i="7"/>
  <c r="AX58" i="7"/>
  <c r="IR57" i="7"/>
  <c r="JR57" i="7" s="1"/>
  <c r="BK57" i="7"/>
  <c r="BI57" i="7"/>
  <c r="BH57" i="7"/>
  <c r="BG57" i="7"/>
  <c r="BF57" i="7"/>
  <c r="BE57" i="7"/>
  <c r="BD57" i="7"/>
  <c r="BC57" i="7"/>
  <c r="BB57" i="7"/>
  <c r="BA57" i="7"/>
  <c r="AZ57" i="7"/>
  <c r="AY57" i="7"/>
  <c r="AX57" i="7"/>
  <c r="IR56" i="7"/>
  <c r="JQ56" i="7" s="1"/>
  <c r="BK56" i="7"/>
  <c r="BI56" i="7"/>
  <c r="BH56" i="7"/>
  <c r="BG56" i="7"/>
  <c r="BF56" i="7"/>
  <c r="BE56" i="7"/>
  <c r="BD56" i="7"/>
  <c r="BC56" i="7"/>
  <c r="BB56" i="7"/>
  <c r="BA56" i="7"/>
  <c r="AZ56" i="7"/>
  <c r="AY56" i="7"/>
  <c r="AX56" i="7"/>
  <c r="IR55" i="7"/>
  <c r="JQ55" i="7" s="1"/>
  <c r="BQ55" i="7"/>
  <c r="BK55" i="7"/>
  <c r="BI55" i="7"/>
  <c r="BH55" i="7"/>
  <c r="BG55" i="7"/>
  <c r="BF55" i="7"/>
  <c r="BE55" i="7"/>
  <c r="BD55" i="7"/>
  <c r="BC55" i="7"/>
  <c r="BB55" i="7"/>
  <c r="BA55" i="7"/>
  <c r="AZ55" i="7"/>
  <c r="AY55" i="7"/>
  <c r="AX55" i="7"/>
  <c r="IR54" i="7"/>
  <c r="JO54" i="7" s="1"/>
  <c r="BK54" i="7"/>
  <c r="BI54" i="7"/>
  <c r="BH54" i="7"/>
  <c r="BG54" i="7"/>
  <c r="BF54" i="7"/>
  <c r="BE54" i="7"/>
  <c r="BD54" i="7"/>
  <c r="BC54" i="7"/>
  <c r="BB54" i="7"/>
  <c r="BA54" i="7"/>
  <c r="AZ54" i="7"/>
  <c r="AY54" i="7"/>
  <c r="AX54" i="7"/>
  <c r="IR53" i="7"/>
  <c r="JO53" i="7" s="1"/>
  <c r="BK53" i="7"/>
  <c r="BI53" i="7"/>
  <c r="BH53" i="7"/>
  <c r="BG53" i="7"/>
  <c r="BF53" i="7"/>
  <c r="BE53" i="7"/>
  <c r="BD53" i="7"/>
  <c r="BC53" i="7"/>
  <c r="BB53" i="7"/>
  <c r="BA53" i="7"/>
  <c r="AZ53" i="7"/>
  <c r="AY53" i="7"/>
  <c r="AX53" i="7"/>
  <c r="IR52" i="7"/>
  <c r="JN52" i="7" s="1"/>
  <c r="BK52" i="7"/>
  <c r="BI52" i="7"/>
  <c r="BH52" i="7"/>
  <c r="BG52" i="7"/>
  <c r="BF52" i="7"/>
  <c r="BE52" i="7"/>
  <c r="BD52" i="7"/>
  <c r="BC52" i="7"/>
  <c r="BB52" i="7"/>
  <c r="BA52" i="7"/>
  <c r="AZ52" i="7"/>
  <c r="AY52" i="7"/>
  <c r="AX52" i="7"/>
  <c r="IR51" i="7"/>
  <c r="JR51" i="7" s="1"/>
  <c r="BK51" i="7"/>
  <c r="BI51" i="7"/>
  <c r="BH51" i="7"/>
  <c r="BG51" i="7"/>
  <c r="BF51" i="7"/>
  <c r="BE51" i="7"/>
  <c r="BD51" i="7"/>
  <c r="BC51" i="7"/>
  <c r="BB51" i="7"/>
  <c r="BA51" i="7"/>
  <c r="AZ51" i="7"/>
  <c r="AY51" i="7"/>
  <c r="AX51" i="7"/>
  <c r="IR50" i="7"/>
  <c r="JN50" i="7" s="1"/>
  <c r="BK50" i="7"/>
  <c r="BI50" i="7"/>
  <c r="BH50" i="7"/>
  <c r="BG50" i="7"/>
  <c r="BF50" i="7"/>
  <c r="BE50" i="7"/>
  <c r="BD50" i="7"/>
  <c r="BC50" i="7"/>
  <c r="BB50" i="7"/>
  <c r="BA50" i="7"/>
  <c r="AZ50" i="7"/>
  <c r="AY50" i="7"/>
  <c r="AX50" i="7"/>
  <c r="IR49" i="7"/>
  <c r="JR49" i="7" s="1"/>
  <c r="BK49" i="7"/>
  <c r="BI49" i="7"/>
  <c r="BH49" i="7"/>
  <c r="BG49" i="7"/>
  <c r="BF49" i="7"/>
  <c r="BE49" i="7"/>
  <c r="BD49" i="7"/>
  <c r="BC49" i="7"/>
  <c r="BB49" i="7"/>
  <c r="BA49" i="7"/>
  <c r="AZ49" i="7"/>
  <c r="AY49" i="7"/>
  <c r="IR48" i="7"/>
  <c r="JB48" i="7" s="1"/>
  <c r="IR47" i="7"/>
  <c r="JO47" i="7" s="1"/>
  <c r="AL47" i="7"/>
  <c r="AL127" i="7" s="1"/>
  <c r="AE47" i="7"/>
  <c r="X47" i="7"/>
  <c r="IR46" i="7"/>
  <c r="JG46" i="7" s="1"/>
  <c r="BK46" i="7"/>
  <c r="BI46" i="7"/>
  <c r="BH46" i="7"/>
  <c r="BG46" i="7"/>
  <c r="BF46" i="7"/>
  <c r="BE46" i="7"/>
  <c r="BD46" i="7"/>
  <c r="BC46" i="7"/>
  <c r="BB46" i="7"/>
  <c r="BA46" i="7"/>
  <c r="AZ46" i="7"/>
  <c r="AY46" i="7"/>
  <c r="AX46" i="7"/>
  <c r="IR45" i="7"/>
  <c r="JG45" i="7" s="1"/>
  <c r="BK45" i="7"/>
  <c r="BI45" i="7"/>
  <c r="BH45" i="7"/>
  <c r="BG45" i="7"/>
  <c r="BF45" i="7"/>
  <c r="BE45" i="7"/>
  <c r="BD45" i="7"/>
  <c r="BC45" i="7"/>
  <c r="BB45" i="7"/>
  <c r="BA45" i="7"/>
  <c r="AZ45" i="7"/>
  <c r="AY45" i="7"/>
  <c r="AX45" i="7"/>
  <c r="IR44" i="7"/>
  <c r="BK44" i="7"/>
  <c r="BI44" i="7"/>
  <c r="BH44" i="7"/>
  <c r="BG44" i="7"/>
  <c r="BF44" i="7"/>
  <c r="BE44" i="7"/>
  <c r="BD44" i="7"/>
  <c r="BC44" i="7"/>
  <c r="BB44" i="7"/>
  <c r="BA44" i="7"/>
  <c r="AZ44" i="7"/>
  <c r="AY44" i="7"/>
  <c r="AX44" i="7"/>
  <c r="IR43" i="7"/>
  <c r="JG43" i="7" s="1"/>
  <c r="BK43" i="7"/>
  <c r="BI43" i="7"/>
  <c r="BH43" i="7"/>
  <c r="BG43" i="7"/>
  <c r="BF43" i="7"/>
  <c r="BE43" i="7"/>
  <c r="BD43" i="7"/>
  <c r="BC43" i="7"/>
  <c r="BB43" i="7"/>
  <c r="BA43" i="7"/>
  <c r="AZ43" i="7"/>
  <c r="AY43" i="7"/>
  <c r="AX43" i="7"/>
  <c r="IR42" i="7"/>
  <c r="BK42" i="7"/>
  <c r="BI42" i="7"/>
  <c r="BH42" i="7"/>
  <c r="BG42" i="7"/>
  <c r="BF42" i="7"/>
  <c r="BE42" i="7"/>
  <c r="BD42" i="7"/>
  <c r="BC42" i="7"/>
  <c r="BB42" i="7"/>
  <c r="BA42" i="7"/>
  <c r="AZ42" i="7"/>
  <c r="AY42" i="7"/>
  <c r="AX42" i="7"/>
  <c r="IR41" i="7"/>
  <c r="JR41" i="7" s="1"/>
  <c r="BK41" i="7"/>
  <c r="BI41" i="7"/>
  <c r="BH41" i="7"/>
  <c r="BG41" i="7"/>
  <c r="BF41" i="7"/>
  <c r="BE41" i="7"/>
  <c r="BD41" i="7"/>
  <c r="BC41" i="7"/>
  <c r="BB41" i="7"/>
  <c r="BA41" i="7"/>
  <c r="AZ41" i="7"/>
  <c r="AY41" i="7"/>
  <c r="AX41" i="7"/>
  <c r="IR40" i="7"/>
  <c r="BK40" i="7"/>
  <c r="BI40" i="7"/>
  <c r="BH40" i="7"/>
  <c r="BG40" i="7"/>
  <c r="BF40" i="7"/>
  <c r="BE40" i="7"/>
  <c r="BD40" i="7"/>
  <c r="BC40" i="7"/>
  <c r="BB40" i="7"/>
  <c r="BA40" i="7"/>
  <c r="AZ40" i="7"/>
  <c r="AY40" i="7"/>
  <c r="AX40" i="7"/>
  <c r="IR39" i="7"/>
  <c r="BK39" i="7"/>
  <c r="BI39" i="7"/>
  <c r="BH39" i="7"/>
  <c r="BG39" i="7"/>
  <c r="BF39" i="7"/>
  <c r="BE39" i="7"/>
  <c r="BD39" i="7"/>
  <c r="BC39" i="7"/>
  <c r="BB39" i="7"/>
  <c r="BA39" i="7"/>
  <c r="AZ39" i="7"/>
  <c r="AY39" i="7"/>
  <c r="AX39" i="7"/>
  <c r="IR38" i="7"/>
  <c r="JR38" i="7" s="1"/>
  <c r="BK38" i="7"/>
  <c r="BI38" i="7"/>
  <c r="BH38" i="7"/>
  <c r="BG38" i="7"/>
  <c r="BF38" i="7"/>
  <c r="BE38" i="7"/>
  <c r="BD38" i="7"/>
  <c r="BC38" i="7"/>
  <c r="BB38" i="7"/>
  <c r="BA38" i="7"/>
  <c r="AZ38" i="7"/>
  <c r="AY38" i="7"/>
  <c r="AX38" i="7"/>
  <c r="IR37" i="7"/>
  <c r="JO37" i="7" s="1"/>
  <c r="BZ37" i="7"/>
  <c r="BZ38" i="7" s="1"/>
  <c r="BZ39" i="7" s="1"/>
  <c r="BZ40" i="7" s="1"/>
  <c r="BZ41" i="7" s="1"/>
  <c r="BZ42" i="7" s="1"/>
  <c r="BZ43" i="7" s="1"/>
  <c r="BZ44" i="7" s="1"/>
  <c r="BZ45" i="7" s="1"/>
  <c r="BZ46" i="7" s="1"/>
  <c r="BZ47" i="7" s="1"/>
  <c r="BK37" i="7"/>
  <c r="BI37" i="7"/>
  <c r="BH37" i="7"/>
  <c r="BG37" i="7"/>
  <c r="BF37" i="7"/>
  <c r="BE37" i="7"/>
  <c r="BD37" i="7"/>
  <c r="BC37" i="7"/>
  <c r="BB37" i="7"/>
  <c r="BA37" i="7"/>
  <c r="AZ37" i="7"/>
  <c r="AY37" i="7"/>
  <c r="AX37" i="7"/>
  <c r="IR36" i="7"/>
  <c r="JO36" i="7" s="1"/>
  <c r="IM36" i="7"/>
  <c r="IM37" i="7" s="1"/>
  <c r="IM38" i="7" s="1"/>
  <c r="IM39" i="7" s="1"/>
  <c r="IM40" i="7" s="1"/>
  <c r="IM41" i="7" s="1"/>
  <c r="IM42" i="7" s="1"/>
  <c r="IM43" i="7" s="1"/>
  <c r="IM44" i="7" s="1"/>
  <c r="IM45" i="7" s="1"/>
  <c r="IM46" i="7" s="1"/>
  <c r="IM47" i="7" s="1"/>
  <c r="IM48" i="7" s="1"/>
  <c r="IM49" i="7" s="1"/>
  <c r="IM50" i="7" s="1"/>
  <c r="IM51" i="7" s="1"/>
  <c r="IM52" i="7" s="1"/>
  <c r="IM53" i="7" s="1"/>
  <c r="IM54" i="7" s="1"/>
  <c r="IM55" i="7" s="1"/>
  <c r="IM56" i="7" s="1"/>
  <c r="IM57" i="7" s="1"/>
  <c r="IM58" i="7" s="1"/>
  <c r="IM59" i="7" s="1"/>
  <c r="IM60" i="7" s="1"/>
  <c r="IM61" i="7" s="1"/>
  <c r="IM62" i="7" s="1"/>
  <c r="IM63" i="7" s="1"/>
  <c r="IM64" i="7" s="1"/>
  <c r="IM65" i="7" s="1"/>
  <c r="IM66" i="7" s="1"/>
  <c r="IM67" i="7" s="1"/>
  <c r="IM68" i="7" s="1"/>
  <c r="IM69" i="7" s="1"/>
  <c r="IM70" i="7" s="1"/>
  <c r="BK36" i="7"/>
  <c r="BI36" i="7"/>
  <c r="BH36" i="7"/>
  <c r="BG36" i="7"/>
  <c r="BF36" i="7"/>
  <c r="BE36" i="7"/>
  <c r="BD36" i="7"/>
  <c r="BC36" i="7"/>
  <c r="BB36" i="7"/>
  <c r="BA36" i="7"/>
  <c r="AZ36" i="7"/>
  <c r="AY36" i="7"/>
  <c r="AX36" i="7"/>
  <c r="IR35" i="7"/>
  <c r="BK35" i="7"/>
  <c r="BI35" i="7"/>
  <c r="BH35" i="7"/>
  <c r="BG35" i="7"/>
  <c r="BF35" i="7"/>
  <c r="BE35" i="7"/>
  <c r="BD35" i="7"/>
  <c r="BC35" i="7"/>
  <c r="BB35" i="7"/>
  <c r="BA35" i="7"/>
  <c r="AZ35" i="7"/>
  <c r="AY35" i="7"/>
  <c r="AX35" i="7"/>
  <c r="JW32" i="7"/>
  <c r="JX32" i="7" s="1"/>
  <c r="JY32" i="7" s="1"/>
  <c r="JZ32" i="7" s="1"/>
  <c r="KA32" i="7" s="1"/>
  <c r="IT32" i="7"/>
  <c r="IU32" i="7" s="1"/>
  <c r="IV32" i="7" s="1"/>
  <c r="IW32" i="7" s="1"/>
  <c r="IX32" i="7" s="1"/>
  <c r="IY32" i="7" s="1"/>
  <c r="IZ32" i="7" s="1"/>
  <c r="JA32" i="7" s="1"/>
  <c r="JB32" i="7" s="1"/>
  <c r="JC32" i="7" s="1"/>
  <c r="IT31" i="7"/>
  <c r="IU30" i="7" s="1"/>
  <c r="KA30" i="7"/>
  <c r="JZ30" i="7"/>
  <c r="JY30" i="7"/>
  <c r="JX30" i="7"/>
  <c r="JW30" i="7"/>
  <c r="AQ170" i="7" l="1"/>
  <c r="AT183" i="7"/>
  <c r="Z127" i="7"/>
  <c r="AN127" i="7"/>
  <c r="JV35" i="7"/>
  <c r="C21" i="4"/>
  <c r="C22" i="4" s="1"/>
  <c r="C23" i="4" s="1"/>
  <c r="C24" i="4" s="1"/>
  <c r="C25" i="4" s="1"/>
  <c r="C26" i="4" s="1"/>
  <c r="C27" i="4" s="1"/>
  <c r="C28" i="4" s="1"/>
  <c r="C29" i="4" s="1"/>
  <c r="C30" i="4" s="1"/>
  <c r="C31" i="4" s="1"/>
  <c r="C32" i="4" s="1"/>
  <c r="C33" i="4" s="1"/>
  <c r="C34" i="4" s="1"/>
  <c r="C35" i="4" s="1"/>
  <c r="C36" i="4" s="1"/>
  <c r="C37" i="4" s="1"/>
  <c r="C38" i="4" s="1"/>
  <c r="C39" i="4" s="1"/>
  <c r="C40" i="4" s="1"/>
  <c r="C41" i="4" s="1"/>
  <c r="C42" i="4" s="1"/>
  <c r="C43" i="4" s="1"/>
  <c r="C44" i="4" s="1"/>
  <c r="C45" i="4" s="1"/>
  <c r="C46" i="4" s="1"/>
  <c r="C47" i="4" s="1"/>
  <c r="C48" i="4" s="1"/>
  <c r="C49" i="4" s="1"/>
  <c r="C50" i="4" s="1"/>
  <c r="C51" i="4" s="1"/>
  <c r="C52" i="4" s="1"/>
  <c r="C53" i="4" s="1"/>
  <c r="C54" i="4" s="1"/>
  <c r="C55" i="4" s="1"/>
  <c r="C56" i="4" s="1"/>
  <c r="C57" i="4" s="1"/>
  <c r="C58" i="4" s="1"/>
  <c r="C59" i="4" s="1"/>
  <c r="C60" i="4" s="1"/>
  <c r="C61" i="4" s="1"/>
  <c r="C62" i="4" s="1"/>
  <c r="C63" i="4" s="1"/>
  <c r="C64" i="4" s="1"/>
  <c r="C65" i="4" s="1"/>
  <c r="C66" i="4" s="1"/>
  <c r="C67" i="4" s="1"/>
  <c r="C68" i="4" s="1"/>
  <c r="C69" i="4" s="1"/>
  <c r="C70" i="4" s="1"/>
  <c r="C71" i="4" s="1"/>
  <c r="C72" i="4" s="1"/>
  <c r="C73" i="4" s="1"/>
  <c r="C74" i="4" s="1"/>
  <c r="C75" i="4" s="1"/>
  <c r="C76" i="4" s="1"/>
  <c r="C77" i="4" s="1"/>
  <c r="C78" i="4" s="1"/>
  <c r="C79" i="4" s="1"/>
  <c r="C80" i="4" s="1"/>
  <c r="C81" i="4" s="1"/>
  <c r="C82" i="4" s="1"/>
  <c r="C83" i="4" s="1"/>
  <c r="B123" i="4"/>
  <c r="A21" i="4"/>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A166" i="4" s="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A187" i="4" s="1"/>
  <c r="A188" i="4" s="1"/>
  <c r="A189" i="4" s="1"/>
  <c r="A190" i="4" s="1"/>
  <c r="A191" i="4" s="1"/>
  <c r="A192" i="4" s="1"/>
  <c r="A193" i="4" s="1"/>
  <c r="A194" i="4" s="1"/>
  <c r="A195" i="4" s="1"/>
  <c r="A196" i="4" s="1"/>
  <c r="A197" i="4" s="1"/>
  <c r="A198" i="4" s="1"/>
  <c r="A199" i="4" s="1"/>
  <c r="A200" i="4" s="1"/>
  <c r="A201" i="4" s="1"/>
  <c r="A202" i="4" s="1"/>
  <c r="A203" i="4" s="1"/>
  <c r="AH93" i="8"/>
  <c r="AI93" i="8" s="1"/>
  <c r="AF127" i="7"/>
  <c r="AG128" i="7" s="1"/>
  <c r="AR95" i="8"/>
  <c r="T95" i="8" s="1"/>
  <c r="AH92" i="8"/>
  <c r="AH94" i="8"/>
  <c r="AQ94" i="8"/>
  <c r="AR94" i="8" s="1"/>
  <c r="T94" i="8" s="1"/>
  <c r="AO53" i="8"/>
  <c r="AU54" i="8"/>
  <c r="AT54" i="8" s="1"/>
  <c r="S38" i="8" s="1"/>
  <c r="AS53" i="8"/>
  <c r="KG29" i="7"/>
  <c r="KL29" i="7" s="1"/>
  <c r="KE30" i="7"/>
  <c r="KL30" i="7"/>
  <c r="EO7" i="7"/>
  <c r="EP6" i="7"/>
  <c r="JQ59" i="7"/>
  <c r="KF29" i="7"/>
  <c r="KK29" i="7" s="1"/>
  <c r="JK35" i="7"/>
  <c r="IQ35" i="7"/>
  <c r="JX39" i="7"/>
  <c r="BJ35" i="7"/>
  <c r="BJ36" i="7"/>
  <c r="AX116" i="7" s="1"/>
  <c r="BJ38" i="7"/>
  <c r="AX118" i="7" s="1"/>
  <c r="JB38" i="7"/>
  <c r="BJ49" i="7"/>
  <c r="AZ115" i="7" s="1"/>
  <c r="BJ56" i="7"/>
  <c r="AZ122" i="7" s="1"/>
  <c r="BJ57" i="7"/>
  <c r="AZ123" i="7" s="1"/>
  <c r="IX57" i="7"/>
  <c r="IX41" i="7"/>
  <c r="JN57" i="7"/>
  <c r="IQ61" i="7"/>
  <c r="IS61" i="7"/>
  <c r="IQ65" i="7"/>
  <c r="IS65" i="7"/>
  <c r="JM65" i="7"/>
  <c r="IQ68" i="7"/>
  <c r="IS68" i="7"/>
  <c r="JM68" i="7"/>
  <c r="IQ69" i="7"/>
  <c r="IS69" i="7"/>
  <c r="JM69" i="7"/>
  <c r="BJ72" i="7"/>
  <c r="BB124" i="7" s="1"/>
  <c r="BJ74" i="7"/>
  <c r="AH116" i="7"/>
  <c r="AA117" i="7"/>
  <c r="AO117" i="7"/>
  <c r="JN41" i="7"/>
  <c r="JM61" i="7"/>
  <c r="JE65" i="7"/>
  <c r="JE68" i="7"/>
  <c r="JE69" i="7"/>
  <c r="KE29" i="7"/>
  <c r="KJ29" i="7" s="1"/>
  <c r="BJ37" i="7"/>
  <c r="AX117" i="7" s="1"/>
  <c r="BJ40" i="7"/>
  <c r="AX120" i="7" s="1"/>
  <c r="JF41" i="7"/>
  <c r="IY43" i="7"/>
  <c r="JO43" i="7"/>
  <c r="IY45" i="7"/>
  <c r="JO45" i="7"/>
  <c r="BJ46" i="7"/>
  <c r="AX126" i="7" s="1"/>
  <c r="IY46" i="7"/>
  <c r="JO46" i="7"/>
  <c r="IQ47" i="7"/>
  <c r="IS47" i="7"/>
  <c r="JM47" i="7"/>
  <c r="BJ52" i="7"/>
  <c r="AZ118" i="7" s="1"/>
  <c r="IQ53" i="7"/>
  <c r="IS53" i="7"/>
  <c r="JE53" i="7"/>
  <c r="JM53" i="7"/>
  <c r="IQ54" i="7"/>
  <c r="IS54" i="7"/>
  <c r="JE54" i="7"/>
  <c r="JM54" i="7"/>
  <c r="JF57" i="7"/>
  <c r="IQ58" i="7"/>
  <c r="IS58" i="7"/>
  <c r="JE58" i="7"/>
  <c r="JM58" i="7"/>
  <c r="BJ60" i="7"/>
  <c r="AZ126" i="7" s="1"/>
  <c r="JE61" i="7"/>
  <c r="IQ62" i="7"/>
  <c r="IS62" i="7"/>
  <c r="JA65" i="7"/>
  <c r="JI65" i="7"/>
  <c r="JQ65" i="7"/>
  <c r="IQ66" i="7"/>
  <c r="IS66" i="7"/>
  <c r="JE66" i="7"/>
  <c r="JM66" i="7"/>
  <c r="IQ67" i="7"/>
  <c r="IS67" i="7"/>
  <c r="JE67" i="7"/>
  <c r="JM67" i="7"/>
  <c r="JA68" i="7"/>
  <c r="JI68" i="7"/>
  <c r="JQ68" i="7"/>
  <c r="JA69" i="7"/>
  <c r="JI69" i="7"/>
  <c r="JQ69" i="7"/>
  <c r="IQ70" i="7"/>
  <c r="IS70" i="7"/>
  <c r="JE70" i="7"/>
  <c r="JM70" i="7"/>
  <c r="JE47" i="7"/>
  <c r="JA53" i="7"/>
  <c r="JI53" i="7"/>
  <c r="JQ53" i="7"/>
  <c r="JA54" i="7"/>
  <c r="JI54" i="7"/>
  <c r="JQ54" i="7"/>
  <c r="JA58" i="7"/>
  <c r="JI58" i="7"/>
  <c r="JQ58" i="7"/>
  <c r="JE62" i="7"/>
  <c r="JA66" i="7"/>
  <c r="JI66" i="7"/>
  <c r="JQ66" i="7"/>
  <c r="JA67" i="7"/>
  <c r="JI67" i="7"/>
  <c r="JQ67" i="7"/>
  <c r="JA70" i="7"/>
  <c r="JI70" i="7"/>
  <c r="JQ70" i="7"/>
  <c r="AH118" i="7"/>
  <c r="AA119" i="7"/>
  <c r="AO119" i="7"/>
  <c r="AH120" i="7"/>
  <c r="AA121" i="7"/>
  <c r="AO121" i="7"/>
  <c r="AH122" i="7"/>
  <c r="AA123" i="7"/>
  <c r="AO123" i="7"/>
  <c r="AH124" i="7"/>
  <c r="AA125" i="7"/>
  <c r="AO125" i="7"/>
  <c r="AH126" i="7"/>
  <c r="AR170" i="7"/>
  <c r="AR183" i="7"/>
  <c r="GN8" i="7"/>
  <c r="GO7" i="7"/>
  <c r="DU8" i="7"/>
  <c r="DV7" i="7"/>
  <c r="CD16" i="7"/>
  <c r="CE15" i="7"/>
  <c r="IQ60" i="7"/>
  <c r="IS60" i="7"/>
  <c r="JE60" i="7"/>
  <c r="JM60" i="7"/>
  <c r="JA61" i="7"/>
  <c r="JI61" i="7"/>
  <c r="JQ61" i="7"/>
  <c r="JA62" i="7"/>
  <c r="JK62" i="7"/>
  <c r="BJ63" i="7"/>
  <c r="BB115" i="7" s="1"/>
  <c r="JA60" i="7"/>
  <c r="JI60" i="7"/>
  <c r="JQ60" i="7"/>
  <c r="JO62" i="7"/>
  <c r="JA47" i="7"/>
  <c r="JI47" i="7"/>
  <c r="JQ47" i="7"/>
  <c r="IX51" i="7"/>
  <c r="JN51" i="7"/>
  <c r="JG36" i="7"/>
  <c r="IY36" i="7"/>
  <c r="IY37" i="7"/>
  <c r="JO35" i="7"/>
  <c r="IS35" i="7"/>
  <c r="JG35" i="7"/>
  <c r="JA35" i="7"/>
  <c r="JQ39" i="7"/>
  <c r="JM39" i="7"/>
  <c r="JI39" i="7"/>
  <c r="JE39" i="7"/>
  <c r="JA39" i="7"/>
  <c r="IS39" i="7"/>
  <c r="IQ39" i="7"/>
  <c r="JF40" i="7"/>
  <c r="IX40" i="7"/>
  <c r="JQ42" i="7"/>
  <c r="JM42" i="7"/>
  <c r="JI42" i="7"/>
  <c r="JE42" i="7"/>
  <c r="JA42" i="7"/>
  <c r="IS42" i="7"/>
  <c r="IQ42" i="7"/>
  <c r="JQ46" i="7"/>
  <c r="JM46" i="7"/>
  <c r="JI46" i="7"/>
  <c r="JE46" i="7"/>
  <c r="JA46" i="7"/>
  <c r="IS46" i="7"/>
  <c r="IQ46" i="7"/>
  <c r="X127" i="7"/>
  <c r="AX47" i="7"/>
  <c r="Y47" i="7" s="1"/>
  <c r="JC39" i="7"/>
  <c r="JK39" i="7"/>
  <c r="JJ40" i="7"/>
  <c r="JC42" i="7"/>
  <c r="JK42" i="7"/>
  <c r="JC46" i="7"/>
  <c r="JK46" i="7"/>
  <c r="KA36" i="7"/>
  <c r="JQ36" i="7"/>
  <c r="JM36" i="7"/>
  <c r="JI36" i="7"/>
  <c r="JE36" i="7"/>
  <c r="JA36" i="7"/>
  <c r="IS36" i="7"/>
  <c r="IQ36" i="7"/>
  <c r="JQ37" i="7"/>
  <c r="JM37" i="7"/>
  <c r="JI37" i="7"/>
  <c r="JE37" i="7"/>
  <c r="JA37" i="7"/>
  <c r="IS37" i="7"/>
  <c r="IQ37" i="7"/>
  <c r="JN38" i="7"/>
  <c r="JF38" i="7"/>
  <c r="IX38" i="7"/>
  <c r="JQ43" i="7"/>
  <c r="JM43" i="7"/>
  <c r="JI43" i="7"/>
  <c r="JE43" i="7"/>
  <c r="JA43" i="7"/>
  <c r="IS43" i="7"/>
  <c r="IQ43" i="7"/>
  <c r="JQ45" i="7"/>
  <c r="JM45" i="7"/>
  <c r="JI45" i="7"/>
  <c r="JE45" i="7"/>
  <c r="JA45" i="7"/>
  <c r="IS45" i="7"/>
  <c r="IQ45" i="7"/>
  <c r="JR48" i="7"/>
  <c r="JJ48" i="7"/>
  <c r="IX48" i="7"/>
  <c r="KG30" i="7"/>
  <c r="KA35" i="7"/>
  <c r="IY35" i="7"/>
  <c r="JE35" i="7"/>
  <c r="JI35" i="7"/>
  <c r="JM35" i="7"/>
  <c r="JQ35" i="7"/>
  <c r="JC36" i="7"/>
  <c r="JK36" i="7"/>
  <c r="JC37" i="7"/>
  <c r="JK37" i="7"/>
  <c r="JJ38" i="7"/>
  <c r="IY39" i="7"/>
  <c r="JG39" i="7"/>
  <c r="JO39" i="7"/>
  <c r="JB40" i="7"/>
  <c r="JR40" i="7"/>
  <c r="IY42" i="7"/>
  <c r="JG42" i="7"/>
  <c r="JO42" i="7"/>
  <c r="JC43" i="7"/>
  <c r="JK43" i="7"/>
  <c r="JC45" i="7"/>
  <c r="JK45" i="7"/>
  <c r="JN48" i="7"/>
  <c r="JB49" i="7"/>
  <c r="JN49" i="7"/>
  <c r="JB50" i="7"/>
  <c r="JJ50" i="7"/>
  <c r="JR50" i="7"/>
  <c r="JB52" i="7"/>
  <c r="JJ52" i="7"/>
  <c r="JR52" i="7"/>
  <c r="IY55" i="7"/>
  <c r="JC55" i="7"/>
  <c r="JG55" i="7"/>
  <c r="JK55" i="7"/>
  <c r="JO55" i="7"/>
  <c r="IY56" i="7"/>
  <c r="JC56" i="7"/>
  <c r="JG56" i="7"/>
  <c r="JK56" i="7"/>
  <c r="JO56" i="7"/>
  <c r="IY59" i="7"/>
  <c r="JC59" i="7"/>
  <c r="JK59" i="7"/>
  <c r="JO59" i="7"/>
  <c r="IY64" i="7"/>
  <c r="JC64" i="7"/>
  <c r="JG64" i="7"/>
  <c r="JM64" i="7"/>
  <c r="JQ64" i="7"/>
  <c r="AO126" i="7"/>
  <c r="JB41" i="7"/>
  <c r="JJ41" i="7"/>
  <c r="BJ43" i="7"/>
  <c r="AX123" i="7" s="1"/>
  <c r="BJ44" i="7"/>
  <c r="AX124" i="7" s="1"/>
  <c r="BJ45" i="7"/>
  <c r="AX125" i="7" s="1"/>
  <c r="IY47" i="7"/>
  <c r="JC47" i="7"/>
  <c r="JG47" i="7"/>
  <c r="JK47" i="7"/>
  <c r="IX49" i="7"/>
  <c r="JJ49" i="7"/>
  <c r="IX50" i="7"/>
  <c r="JF50" i="7"/>
  <c r="BJ51" i="7"/>
  <c r="AZ117" i="7" s="1"/>
  <c r="JB51" i="7"/>
  <c r="JJ51" i="7"/>
  <c r="IX52" i="7"/>
  <c r="BJ53" i="7"/>
  <c r="AZ119" i="7" s="1"/>
  <c r="IY53" i="7"/>
  <c r="JC53" i="7"/>
  <c r="JG53" i="7"/>
  <c r="JK53" i="7"/>
  <c r="BJ54" i="7"/>
  <c r="AZ120" i="7" s="1"/>
  <c r="IY54" i="7"/>
  <c r="JC54" i="7"/>
  <c r="JG54" i="7"/>
  <c r="JK54" i="7"/>
  <c r="BJ55" i="7"/>
  <c r="AZ121" i="7" s="1"/>
  <c r="IQ55" i="7"/>
  <c r="IS55" i="7"/>
  <c r="JA55" i="7"/>
  <c r="JE55" i="7"/>
  <c r="JI55" i="7"/>
  <c r="JM55" i="7"/>
  <c r="IQ56" i="7"/>
  <c r="IS56" i="7"/>
  <c r="JA56" i="7"/>
  <c r="JE56" i="7"/>
  <c r="JI56" i="7"/>
  <c r="JM56" i="7"/>
  <c r="JB57" i="7"/>
  <c r="JJ57" i="7"/>
  <c r="IY58" i="7"/>
  <c r="JC58" i="7"/>
  <c r="JG58" i="7"/>
  <c r="JK58" i="7"/>
  <c r="BJ59" i="7"/>
  <c r="AZ125" i="7" s="1"/>
  <c r="IQ59" i="7"/>
  <c r="IS59" i="7"/>
  <c r="JA59" i="7"/>
  <c r="JE59" i="7"/>
  <c r="JI59" i="7"/>
  <c r="JM59" i="7"/>
  <c r="IY60" i="7"/>
  <c r="JC60" i="7"/>
  <c r="JK60" i="7"/>
  <c r="IY61" i="7"/>
  <c r="JC61" i="7"/>
  <c r="JG61" i="7"/>
  <c r="IY62" i="7"/>
  <c r="JC62" i="7"/>
  <c r="JG62" i="7"/>
  <c r="JM62" i="7"/>
  <c r="BJ64" i="7"/>
  <c r="BB116" i="7" s="1"/>
  <c r="IQ64" i="7"/>
  <c r="IS64" i="7"/>
  <c r="JA64" i="7"/>
  <c r="JE64" i="7"/>
  <c r="JI64" i="7"/>
  <c r="BJ65" i="7"/>
  <c r="BB117" i="7" s="1"/>
  <c r="IY65" i="7"/>
  <c r="JC65" i="7"/>
  <c r="JK65" i="7"/>
  <c r="BJ66" i="7"/>
  <c r="BB118" i="7" s="1"/>
  <c r="IY66" i="7"/>
  <c r="JC66" i="7"/>
  <c r="JG66" i="7"/>
  <c r="JK66" i="7"/>
  <c r="BJ67" i="7"/>
  <c r="BB119" i="7" s="1"/>
  <c r="IY67" i="7"/>
  <c r="JC67" i="7"/>
  <c r="JG67" i="7"/>
  <c r="JK67" i="7"/>
  <c r="BJ68" i="7"/>
  <c r="BB120" i="7" s="1"/>
  <c r="IY68" i="7"/>
  <c r="JC68" i="7"/>
  <c r="JG68" i="7"/>
  <c r="JK68" i="7"/>
  <c r="BJ69" i="7"/>
  <c r="BB121" i="7" s="1"/>
  <c r="IY69" i="7"/>
  <c r="JC69" i="7"/>
  <c r="JG69" i="7"/>
  <c r="JK69" i="7"/>
  <c r="BJ70" i="7"/>
  <c r="BB122" i="7" s="1"/>
  <c r="IY70" i="7"/>
  <c r="JC70" i="7"/>
  <c r="JG70" i="7"/>
  <c r="JK70" i="7"/>
  <c r="BJ71" i="7"/>
  <c r="BB123" i="7" s="1"/>
  <c r="BJ73" i="7"/>
  <c r="BB125" i="7" s="1"/>
  <c r="AA115" i="7"/>
  <c r="X115" i="7" s="1"/>
  <c r="AO115" i="7"/>
  <c r="AA116" i="7"/>
  <c r="AO116" i="7"/>
  <c r="AH117" i="7"/>
  <c r="AA118" i="7"/>
  <c r="AO118" i="7"/>
  <c r="AH119" i="7"/>
  <c r="AA120" i="7"/>
  <c r="AO120" i="7"/>
  <c r="AH121" i="7"/>
  <c r="AA122" i="7"/>
  <c r="AO122" i="7"/>
  <c r="AH123" i="7"/>
  <c r="AA124" i="7"/>
  <c r="AO124" i="7"/>
  <c r="AH125" i="7"/>
  <c r="AA126" i="7"/>
  <c r="JC35" i="7"/>
  <c r="JD32" i="7"/>
  <c r="JE32" i="7" s="1"/>
  <c r="JF32" i="7" s="1"/>
  <c r="JF51" i="7" s="1"/>
  <c r="JZ70" i="7"/>
  <c r="JZ69" i="7"/>
  <c r="JZ68" i="7"/>
  <c r="JZ67" i="7"/>
  <c r="JZ66" i="7"/>
  <c r="JZ62" i="7"/>
  <c r="JZ61" i="7"/>
  <c r="JZ60" i="7"/>
  <c r="JZ59" i="7"/>
  <c r="JZ65" i="7"/>
  <c r="JZ64" i="7"/>
  <c r="JZ56" i="7"/>
  <c r="JZ55" i="7"/>
  <c r="JZ54" i="7"/>
  <c r="JZ53" i="7"/>
  <c r="JZ46" i="7"/>
  <c r="JZ58" i="7"/>
  <c r="JZ47" i="7"/>
  <c r="JZ45" i="7"/>
  <c r="JZ43" i="7"/>
  <c r="JZ42" i="7"/>
  <c r="JV70" i="7"/>
  <c r="JV69" i="7"/>
  <c r="JV68" i="7"/>
  <c r="JV67" i="7"/>
  <c r="JV66" i="7"/>
  <c r="JV62" i="7"/>
  <c r="JV61" i="7"/>
  <c r="JV60" i="7"/>
  <c r="JV65" i="7"/>
  <c r="JV64" i="7"/>
  <c r="JV59" i="7"/>
  <c r="JW57" i="7"/>
  <c r="JV56" i="7"/>
  <c r="JV55" i="7"/>
  <c r="JV54" i="7"/>
  <c r="JV53" i="7"/>
  <c r="JV46" i="7"/>
  <c r="JV58" i="7"/>
  <c r="JW52" i="7"/>
  <c r="JW51" i="7"/>
  <c r="JW50" i="7"/>
  <c r="JW49" i="7"/>
  <c r="JW48" i="7"/>
  <c r="JV47" i="7"/>
  <c r="JV45" i="7"/>
  <c r="JV43" i="7"/>
  <c r="JV42" i="7"/>
  <c r="JW41" i="7"/>
  <c r="JW40" i="7"/>
  <c r="KA57" i="7"/>
  <c r="KA52" i="7"/>
  <c r="KA51" i="7"/>
  <c r="KA50" i="7"/>
  <c r="KA49" i="7"/>
  <c r="KA48" i="7"/>
  <c r="KA41" i="7"/>
  <c r="KA40" i="7"/>
  <c r="JZ38" i="7"/>
  <c r="JX38" i="7"/>
  <c r="JV38" i="7"/>
  <c r="JQ38" i="7"/>
  <c r="JO38" i="7"/>
  <c r="JM38" i="7"/>
  <c r="JK38" i="7"/>
  <c r="JI38" i="7"/>
  <c r="JE38" i="7"/>
  <c r="JC38" i="7"/>
  <c r="JA38" i="7"/>
  <c r="IY38" i="7"/>
  <c r="IS38" i="7"/>
  <c r="IQ38" i="7"/>
  <c r="KK30" i="7"/>
  <c r="KF30" i="7"/>
  <c r="KJ30" i="7"/>
  <c r="IU31" i="7"/>
  <c r="IV30" i="7" s="1"/>
  <c r="IU69" i="7" s="1"/>
  <c r="IT35" i="7"/>
  <c r="IX35" i="7"/>
  <c r="IZ35" i="7"/>
  <c r="JB35" i="7"/>
  <c r="JF35" i="7"/>
  <c r="JH35" i="7"/>
  <c r="JJ35" i="7"/>
  <c r="JL35" i="7"/>
  <c r="JP35" i="7"/>
  <c r="JR35" i="7"/>
  <c r="JW35" i="7"/>
  <c r="JY35" i="7"/>
  <c r="IT36" i="7"/>
  <c r="IX36" i="7"/>
  <c r="IZ36" i="7"/>
  <c r="JB36" i="7"/>
  <c r="JH36" i="7"/>
  <c r="JJ36" i="7"/>
  <c r="JL36" i="7"/>
  <c r="JN36" i="7"/>
  <c r="JP36" i="7"/>
  <c r="JR36" i="7"/>
  <c r="JW36" i="7"/>
  <c r="JY36" i="7"/>
  <c r="JV37" i="7"/>
  <c r="JZ37" i="7"/>
  <c r="IZ38" i="7"/>
  <c r="JD38" i="7"/>
  <c r="JL38" i="7"/>
  <c r="JP38" i="7"/>
  <c r="JY38" i="7"/>
  <c r="BJ39" i="7"/>
  <c r="AX119" i="7" s="1"/>
  <c r="KA39" i="7"/>
  <c r="IT57" i="7"/>
  <c r="IT52" i="7"/>
  <c r="IT51" i="7"/>
  <c r="IT50" i="7"/>
  <c r="IT49" i="7"/>
  <c r="IT48" i="7"/>
  <c r="IT41" i="7"/>
  <c r="JX70" i="7"/>
  <c r="JX69" i="7"/>
  <c r="JX68" i="7"/>
  <c r="JX67" i="7"/>
  <c r="JX66" i="7"/>
  <c r="JX65" i="7"/>
  <c r="JX64" i="7"/>
  <c r="JX62" i="7"/>
  <c r="JX61" i="7"/>
  <c r="JX60" i="7"/>
  <c r="JX58" i="7"/>
  <c r="JX47" i="7"/>
  <c r="JX45" i="7"/>
  <c r="JX43" i="7"/>
  <c r="JX42" i="7"/>
  <c r="JX59" i="7"/>
  <c r="JX56" i="7"/>
  <c r="JX55" i="7"/>
  <c r="JX54" i="7"/>
  <c r="JX53" i="7"/>
  <c r="JX46" i="7"/>
  <c r="AX115" i="7"/>
  <c r="JX35" i="7"/>
  <c r="JZ35" i="7"/>
  <c r="JV36" i="7"/>
  <c r="JX36" i="7"/>
  <c r="JZ36" i="7"/>
  <c r="KA37" i="7"/>
  <c r="JX37" i="7"/>
  <c r="IT38" i="7"/>
  <c r="JW38" i="7"/>
  <c r="KA38" i="7"/>
  <c r="JV39" i="7"/>
  <c r="JZ39" i="7"/>
  <c r="IT40" i="7"/>
  <c r="JZ44" i="7"/>
  <c r="JX44" i="7"/>
  <c r="JV44" i="7"/>
  <c r="JQ44" i="7"/>
  <c r="JO44" i="7"/>
  <c r="JM44" i="7"/>
  <c r="JK44" i="7"/>
  <c r="JI44" i="7"/>
  <c r="JG44" i="7"/>
  <c r="JE44" i="7"/>
  <c r="JC44" i="7"/>
  <c r="JA44" i="7"/>
  <c r="IY44" i="7"/>
  <c r="IS44" i="7"/>
  <c r="IQ44" i="7"/>
  <c r="AE127" i="7"/>
  <c r="AY47" i="7"/>
  <c r="AF47" i="7" s="1"/>
  <c r="JZ57" i="7"/>
  <c r="JX57" i="7"/>
  <c r="JV57" i="7"/>
  <c r="JQ57" i="7"/>
  <c r="JO57" i="7"/>
  <c r="JM57" i="7"/>
  <c r="JK57" i="7"/>
  <c r="JI57" i="7"/>
  <c r="JG57" i="7"/>
  <c r="JE57" i="7"/>
  <c r="JC57" i="7"/>
  <c r="JA57" i="7"/>
  <c r="IY57" i="7"/>
  <c r="IS57" i="7"/>
  <c r="IQ57" i="7"/>
  <c r="IZ44" i="7"/>
  <c r="JD44" i="7"/>
  <c r="JH44" i="7"/>
  <c r="JL44" i="7"/>
  <c r="JP44" i="7"/>
  <c r="JY44" i="7"/>
  <c r="KA46" i="7"/>
  <c r="KA53" i="7"/>
  <c r="KA54" i="7"/>
  <c r="KA55" i="7"/>
  <c r="KA56" i="7"/>
  <c r="IZ57" i="7"/>
  <c r="JD57" i="7"/>
  <c r="JH57" i="7"/>
  <c r="JL57" i="7"/>
  <c r="JP57" i="7"/>
  <c r="JY57" i="7"/>
  <c r="BJ58" i="7"/>
  <c r="AZ124" i="7" s="1"/>
  <c r="KA59" i="7"/>
  <c r="KA60" i="7"/>
  <c r="KA61" i="7"/>
  <c r="KA62" i="7"/>
  <c r="JZ40" i="7"/>
  <c r="JX40" i="7"/>
  <c r="JV40" i="7"/>
  <c r="JQ40" i="7"/>
  <c r="JO40" i="7"/>
  <c r="JM40" i="7"/>
  <c r="JK40" i="7"/>
  <c r="JI40" i="7"/>
  <c r="JG40" i="7"/>
  <c r="JC40" i="7"/>
  <c r="JA40" i="7"/>
  <c r="IY40" i="7"/>
  <c r="IS40" i="7"/>
  <c r="IQ40" i="7"/>
  <c r="JZ41" i="7"/>
  <c r="JX41" i="7"/>
  <c r="JV41" i="7"/>
  <c r="JQ41" i="7"/>
  <c r="JO41" i="7"/>
  <c r="JM41" i="7"/>
  <c r="JK41" i="7"/>
  <c r="JI41" i="7"/>
  <c r="JG41" i="7"/>
  <c r="JC41" i="7"/>
  <c r="JA41" i="7"/>
  <c r="IY41" i="7"/>
  <c r="IS41" i="7"/>
  <c r="IQ41" i="7"/>
  <c r="JZ48" i="7"/>
  <c r="JX48" i="7"/>
  <c r="JV48" i="7"/>
  <c r="JQ48" i="7"/>
  <c r="JO48" i="7"/>
  <c r="JM48" i="7"/>
  <c r="JK48" i="7"/>
  <c r="JI48" i="7"/>
  <c r="JG48" i="7"/>
  <c r="JE48" i="7"/>
  <c r="JC48" i="7"/>
  <c r="JA48" i="7"/>
  <c r="IY48" i="7"/>
  <c r="IS48" i="7"/>
  <c r="IQ48" i="7"/>
  <c r="JZ49" i="7"/>
  <c r="JX49" i="7"/>
  <c r="JV49" i="7"/>
  <c r="JQ49" i="7"/>
  <c r="JO49" i="7"/>
  <c r="JM49" i="7"/>
  <c r="JK49" i="7"/>
  <c r="JI49" i="7"/>
  <c r="JG49" i="7"/>
  <c r="JE49" i="7"/>
  <c r="JC49" i="7"/>
  <c r="JA49" i="7"/>
  <c r="IY49" i="7"/>
  <c r="IS49" i="7"/>
  <c r="IQ49" i="7"/>
  <c r="JZ50" i="7"/>
  <c r="JX50" i="7"/>
  <c r="JV50" i="7"/>
  <c r="JQ50" i="7"/>
  <c r="JO50" i="7"/>
  <c r="JM50" i="7"/>
  <c r="JK50" i="7"/>
  <c r="JI50" i="7"/>
  <c r="JE50" i="7"/>
  <c r="JC50" i="7"/>
  <c r="JA50" i="7"/>
  <c r="IY50" i="7"/>
  <c r="IS50" i="7"/>
  <c r="IQ50" i="7"/>
  <c r="JZ51" i="7"/>
  <c r="JX51" i="7"/>
  <c r="JV51" i="7"/>
  <c r="JQ51" i="7"/>
  <c r="JO51" i="7"/>
  <c r="JM51" i="7"/>
  <c r="JK51" i="7"/>
  <c r="JI51" i="7"/>
  <c r="JG51" i="7"/>
  <c r="JE51" i="7"/>
  <c r="JC51" i="7"/>
  <c r="JA51" i="7"/>
  <c r="IY51" i="7"/>
  <c r="IS51" i="7"/>
  <c r="IQ51" i="7"/>
  <c r="JZ52" i="7"/>
  <c r="JX52" i="7"/>
  <c r="JV52" i="7"/>
  <c r="JQ52" i="7"/>
  <c r="JO52" i="7"/>
  <c r="JM52" i="7"/>
  <c r="JK52" i="7"/>
  <c r="JG52" i="7"/>
  <c r="JE52" i="7"/>
  <c r="JC52" i="7"/>
  <c r="JA52" i="7"/>
  <c r="IY52" i="7"/>
  <c r="IS52" i="7"/>
  <c r="IQ52" i="7"/>
  <c r="IT37" i="7"/>
  <c r="IX37" i="7"/>
  <c r="IZ37" i="7"/>
  <c r="JB37" i="7"/>
  <c r="JD37" i="7"/>
  <c r="JH37" i="7"/>
  <c r="JJ37" i="7"/>
  <c r="JL37" i="7"/>
  <c r="JN37" i="7"/>
  <c r="JP37" i="7"/>
  <c r="JR37" i="7"/>
  <c r="JW37" i="7"/>
  <c r="JY37" i="7"/>
  <c r="IT39" i="7"/>
  <c r="IX39" i="7"/>
  <c r="IZ39" i="7"/>
  <c r="JB39" i="7"/>
  <c r="JD39" i="7"/>
  <c r="JF39" i="7"/>
  <c r="JH39" i="7"/>
  <c r="JL39" i="7"/>
  <c r="JN39" i="7"/>
  <c r="JP39" i="7"/>
  <c r="JR39" i="7"/>
  <c r="JW39" i="7"/>
  <c r="JY39" i="7"/>
  <c r="IZ40" i="7"/>
  <c r="JD40" i="7"/>
  <c r="JH40" i="7"/>
  <c r="JP40" i="7"/>
  <c r="JY40" i="7"/>
  <c r="BJ41" i="7"/>
  <c r="AX121" i="7" s="1"/>
  <c r="IZ41" i="7"/>
  <c r="JD41" i="7"/>
  <c r="JH41" i="7"/>
  <c r="JL41" i="7"/>
  <c r="JP41" i="7"/>
  <c r="JY41" i="7"/>
  <c r="BJ42" i="7"/>
  <c r="AX122" i="7" s="1"/>
  <c r="KA42" i="7"/>
  <c r="KA43" i="7"/>
  <c r="IT44" i="7"/>
  <c r="IX44" i="7"/>
  <c r="JB44" i="7"/>
  <c r="JF44" i="7"/>
  <c r="JJ44" i="7"/>
  <c r="JN44" i="7"/>
  <c r="JR44" i="7"/>
  <c r="JW44" i="7"/>
  <c r="KA44" i="7"/>
  <c r="KA45" i="7"/>
  <c r="AZ47" i="7"/>
  <c r="AM47" i="7" s="1"/>
  <c r="KA47" i="7"/>
  <c r="IZ48" i="7"/>
  <c r="JD48" i="7"/>
  <c r="JH48" i="7"/>
  <c r="JL48" i="7"/>
  <c r="JP48" i="7"/>
  <c r="JY48" i="7"/>
  <c r="IZ49" i="7"/>
  <c r="JD49" i="7"/>
  <c r="JH49" i="7"/>
  <c r="JL49" i="7"/>
  <c r="JP49" i="7"/>
  <c r="JY49" i="7"/>
  <c r="BJ50" i="7"/>
  <c r="AZ116" i="7" s="1"/>
  <c r="IZ50" i="7"/>
  <c r="JD50" i="7"/>
  <c r="JL50" i="7"/>
  <c r="JP50" i="7"/>
  <c r="JY50" i="7"/>
  <c r="IZ51" i="7"/>
  <c r="JD51" i="7"/>
  <c r="JL51" i="7"/>
  <c r="JP51" i="7"/>
  <c r="JY51" i="7"/>
  <c r="IZ52" i="7"/>
  <c r="JD52" i="7"/>
  <c r="JL52" i="7"/>
  <c r="JP52" i="7"/>
  <c r="JY52" i="7"/>
  <c r="KA58" i="7"/>
  <c r="JZ63" i="7"/>
  <c r="IT42" i="7"/>
  <c r="IX42" i="7"/>
  <c r="IZ42" i="7"/>
  <c r="JB42" i="7"/>
  <c r="JD42" i="7"/>
  <c r="JF42" i="7"/>
  <c r="JH42" i="7"/>
  <c r="JJ42" i="7"/>
  <c r="JN42" i="7"/>
  <c r="JP42" i="7"/>
  <c r="JR42" i="7"/>
  <c r="JW42" i="7"/>
  <c r="JY42" i="7"/>
  <c r="IT43" i="7"/>
  <c r="IX43" i="7"/>
  <c r="IZ43" i="7"/>
  <c r="JB43" i="7"/>
  <c r="JD43" i="7"/>
  <c r="JF43" i="7"/>
  <c r="JH43" i="7"/>
  <c r="JJ43" i="7"/>
  <c r="JL43" i="7"/>
  <c r="JN43" i="7"/>
  <c r="JP43" i="7"/>
  <c r="JR43" i="7"/>
  <c r="JW43" i="7"/>
  <c r="JY43" i="7"/>
  <c r="IT45" i="7"/>
  <c r="IX45" i="7"/>
  <c r="IZ45" i="7"/>
  <c r="JB45" i="7"/>
  <c r="JD45" i="7"/>
  <c r="JF45" i="7"/>
  <c r="JH45" i="7"/>
  <c r="JJ45" i="7"/>
  <c r="JL45" i="7"/>
  <c r="JN45" i="7"/>
  <c r="JP45" i="7"/>
  <c r="JR45" i="7"/>
  <c r="JW45" i="7"/>
  <c r="JY45" i="7"/>
  <c r="IT46" i="7"/>
  <c r="IX46" i="7"/>
  <c r="IZ46" i="7"/>
  <c r="JB46" i="7"/>
  <c r="JD46" i="7"/>
  <c r="JF46" i="7"/>
  <c r="JH46" i="7"/>
  <c r="JJ46" i="7"/>
  <c r="JL46" i="7"/>
  <c r="JN46" i="7"/>
  <c r="JP46" i="7"/>
  <c r="JR46" i="7"/>
  <c r="JW46" i="7"/>
  <c r="JY46" i="7"/>
  <c r="IT47" i="7"/>
  <c r="IX47" i="7"/>
  <c r="IZ47" i="7"/>
  <c r="JB47" i="7"/>
  <c r="JD47" i="7"/>
  <c r="JH47" i="7"/>
  <c r="JJ47" i="7"/>
  <c r="JL47" i="7"/>
  <c r="JN47" i="7"/>
  <c r="JP47" i="7"/>
  <c r="JR47" i="7"/>
  <c r="JW47" i="7"/>
  <c r="JY47" i="7"/>
  <c r="IT53" i="7"/>
  <c r="IX53" i="7"/>
  <c r="IZ53" i="7"/>
  <c r="JB53" i="7"/>
  <c r="JD53" i="7"/>
  <c r="JH53" i="7"/>
  <c r="JJ53" i="7"/>
  <c r="JL53" i="7"/>
  <c r="JN53" i="7"/>
  <c r="JP53" i="7"/>
  <c r="JR53" i="7"/>
  <c r="JW53" i="7"/>
  <c r="JY53" i="7"/>
  <c r="IT54" i="7"/>
  <c r="IX54" i="7"/>
  <c r="IZ54" i="7"/>
  <c r="JB54" i="7"/>
  <c r="JD54" i="7"/>
  <c r="JH54" i="7"/>
  <c r="JJ54" i="7"/>
  <c r="JL54" i="7"/>
  <c r="JN54" i="7"/>
  <c r="JP54" i="7"/>
  <c r="JR54" i="7"/>
  <c r="JW54" i="7"/>
  <c r="JY54" i="7"/>
  <c r="IT55" i="7"/>
  <c r="IX55" i="7"/>
  <c r="IZ55" i="7"/>
  <c r="JB55" i="7"/>
  <c r="JD55" i="7"/>
  <c r="JF55" i="7"/>
  <c r="JH55" i="7"/>
  <c r="JJ55" i="7"/>
  <c r="JL55" i="7"/>
  <c r="JN55" i="7"/>
  <c r="JP55" i="7"/>
  <c r="JR55" i="7"/>
  <c r="JW55" i="7"/>
  <c r="JY55" i="7"/>
  <c r="IT56" i="7"/>
  <c r="IX56" i="7"/>
  <c r="IZ56" i="7"/>
  <c r="JB56" i="7"/>
  <c r="JD56" i="7"/>
  <c r="JF56" i="7"/>
  <c r="JH56" i="7"/>
  <c r="JJ56" i="7"/>
  <c r="JL56" i="7"/>
  <c r="JN56" i="7"/>
  <c r="JP56" i="7"/>
  <c r="JR56" i="7"/>
  <c r="JW56" i="7"/>
  <c r="JY56" i="7"/>
  <c r="IT58" i="7"/>
  <c r="IX58" i="7"/>
  <c r="IZ58" i="7"/>
  <c r="JB58" i="7"/>
  <c r="JD58" i="7"/>
  <c r="JF58" i="7"/>
  <c r="JH58" i="7"/>
  <c r="JJ58" i="7"/>
  <c r="JL58" i="7"/>
  <c r="JN58" i="7"/>
  <c r="JP58" i="7"/>
  <c r="JR58" i="7"/>
  <c r="JW58" i="7"/>
  <c r="JY58" i="7"/>
  <c r="IT59" i="7"/>
  <c r="IX59" i="7"/>
  <c r="IZ59" i="7"/>
  <c r="JB59" i="7"/>
  <c r="JD59" i="7"/>
  <c r="JF59" i="7"/>
  <c r="JJ59" i="7"/>
  <c r="JL59" i="7"/>
  <c r="JN59" i="7"/>
  <c r="JP59" i="7"/>
  <c r="JR59" i="7"/>
  <c r="JW59" i="7"/>
  <c r="JY59" i="7"/>
  <c r="IT60" i="7"/>
  <c r="IX60" i="7"/>
  <c r="IZ60" i="7"/>
  <c r="JB60" i="7"/>
  <c r="JD60" i="7"/>
  <c r="JF60" i="7"/>
  <c r="JL60" i="7"/>
  <c r="JN60" i="7"/>
  <c r="JP60" i="7"/>
  <c r="JR60" i="7"/>
  <c r="JW60" i="7"/>
  <c r="JY60" i="7"/>
  <c r="IT61" i="7"/>
  <c r="IX61" i="7"/>
  <c r="IZ61" i="7"/>
  <c r="JB61" i="7"/>
  <c r="JD61" i="7"/>
  <c r="JF61" i="7"/>
  <c r="JJ61" i="7"/>
  <c r="JL61" i="7"/>
  <c r="JN61" i="7"/>
  <c r="JP61" i="7"/>
  <c r="JR61" i="7"/>
  <c r="JW61" i="7"/>
  <c r="JY61" i="7"/>
  <c r="IT62" i="7"/>
  <c r="IX62" i="7"/>
  <c r="IZ62" i="7"/>
  <c r="JB62" i="7"/>
  <c r="JD62" i="7"/>
  <c r="JF62" i="7"/>
  <c r="JJ62" i="7"/>
  <c r="JN62" i="7"/>
  <c r="JP62" i="7"/>
  <c r="JR62" i="7"/>
  <c r="JW62" i="7"/>
  <c r="JY62" i="7"/>
  <c r="IT63" i="7"/>
  <c r="IX63" i="7"/>
  <c r="IZ63" i="7"/>
  <c r="JB63" i="7"/>
  <c r="JD63" i="7"/>
  <c r="JF63" i="7"/>
  <c r="JH63" i="7"/>
  <c r="JJ63" i="7"/>
  <c r="JN63" i="7"/>
  <c r="JP63" i="7"/>
  <c r="JR63" i="7"/>
  <c r="JW63" i="7"/>
  <c r="JY63" i="7"/>
  <c r="KA63" i="7"/>
  <c r="KA66" i="7"/>
  <c r="KA67" i="7"/>
  <c r="KA68" i="7"/>
  <c r="KA69" i="7"/>
  <c r="KA70" i="7"/>
  <c r="IQ63" i="7"/>
  <c r="IS63" i="7"/>
  <c r="IY63" i="7"/>
  <c r="JA63" i="7"/>
  <c r="JC63" i="7"/>
  <c r="JE63" i="7"/>
  <c r="JK63" i="7"/>
  <c r="JM63" i="7"/>
  <c r="JO63" i="7"/>
  <c r="JQ63" i="7"/>
  <c r="JV63" i="7"/>
  <c r="JX63" i="7"/>
  <c r="KA64" i="7"/>
  <c r="KA65" i="7"/>
  <c r="IT64" i="7"/>
  <c r="IX64" i="7"/>
  <c r="IZ64" i="7"/>
  <c r="JB64" i="7"/>
  <c r="JD64" i="7"/>
  <c r="JF64" i="7"/>
  <c r="JJ64" i="7"/>
  <c r="JL64" i="7"/>
  <c r="JP64" i="7"/>
  <c r="JR64" i="7"/>
  <c r="JW64" i="7"/>
  <c r="JY64" i="7"/>
  <c r="IT65" i="7"/>
  <c r="IX65" i="7"/>
  <c r="IZ65" i="7"/>
  <c r="JB65" i="7"/>
  <c r="JD65" i="7"/>
  <c r="JF65" i="7"/>
  <c r="JH65" i="7"/>
  <c r="JJ65" i="7"/>
  <c r="JL65" i="7"/>
  <c r="JN65" i="7"/>
  <c r="JP65" i="7"/>
  <c r="JR65" i="7"/>
  <c r="JW65" i="7"/>
  <c r="JY65" i="7"/>
  <c r="IT66" i="7"/>
  <c r="IX66" i="7"/>
  <c r="IZ66" i="7"/>
  <c r="JB66" i="7"/>
  <c r="JD66" i="7"/>
  <c r="JF66" i="7"/>
  <c r="JJ66" i="7"/>
  <c r="JL66" i="7"/>
  <c r="JN66" i="7"/>
  <c r="JP66" i="7"/>
  <c r="JR66" i="7"/>
  <c r="JW66" i="7"/>
  <c r="JY66" i="7"/>
  <c r="IT67" i="7"/>
  <c r="IX67" i="7"/>
  <c r="IZ67" i="7"/>
  <c r="JB67" i="7"/>
  <c r="JD67" i="7"/>
  <c r="JF67" i="7"/>
  <c r="JH67" i="7"/>
  <c r="JJ67" i="7"/>
  <c r="JL67" i="7"/>
  <c r="JN67" i="7"/>
  <c r="JP67" i="7"/>
  <c r="JR67" i="7"/>
  <c r="JW67" i="7"/>
  <c r="JY67" i="7"/>
  <c r="IT68" i="7"/>
  <c r="IX68" i="7"/>
  <c r="IZ68" i="7"/>
  <c r="JB68" i="7"/>
  <c r="JD68" i="7"/>
  <c r="JF68" i="7"/>
  <c r="JH68" i="7"/>
  <c r="JJ68" i="7"/>
  <c r="JL68" i="7"/>
  <c r="JN68" i="7"/>
  <c r="JP68" i="7"/>
  <c r="JR68" i="7"/>
  <c r="JW68" i="7"/>
  <c r="JY68" i="7"/>
  <c r="IT69" i="7"/>
  <c r="IX69" i="7"/>
  <c r="IZ69" i="7"/>
  <c r="JB69" i="7"/>
  <c r="JD69" i="7"/>
  <c r="JF69" i="7"/>
  <c r="JH69" i="7"/>
  <c r="JJ69" i="7"/>
  <c r="JL69" i="7"/>
  <c r="JN69" i="7"/>
  <c r="JP69" i="7"/>
  <c r="JR69" i="7"/>
  <c r="JW69" i="7"/>
  <c r="JY69" i="7"/>
  <c r="IT70" i="7"/>
  <c r="IX70" i="7"/>
  <c r="IZ70" i="7"/>
  <c r="JB70" i="7"/>
  <c r="JD70" i="7"/>
  <c r="JF70" i="7"/>
  <c r="JH70" i="7"/>
  <c r="JJ70" i="7"/>
  <c r="JL70" i="7"/>
  <c r="JN70" i="7"/>
  <c r="JP70" i="7"/>
  <c r="JR70" i="7"/>
  <c r="JW70" i="7"/>
  <c r="JY70" i="7"/>
  <c r="BB126" i="7"/>
  <c r="AH115" i="7"/>
  <c r="DS36" i="7" s="1"/>
  <c r="Y127" i="7"/>
  <c r="Z128" i="7" s="1"/>
  <c r="AM127" i="7"/>
  <c r="AN128" i="7" l="1"/>
  <c r="AH95" i="8"/>
  <c r="AI95" i="8" s="1"/>
  <c r="K95" i="8" s="1"/>
  <c r="AA127" i="7"/>
  <c r="CB48" i="7" s="1"/>
  <c r="JF54" i="7"/>
  <c r="JF53" i="7"/>
  <c r="JF47" i="7"/>
  <c r="JE40" i="7"/>
  <c r="JL34" i="7" s="1"/>
  <c r="IU42" i="7"/>
  <c r="IU61" i="7"/>
  <c r="IU63" i="7"/>
  <c r="JF37" i="7"/>
  <c r="IU52" i="7"/>
  <c r="IU49" i="7"/>
  <c r="JE41" i="7"/>
  <c r="IU37" i="7"/>
  <c r="IU54" i="7"/>
  <c r="IU67" i="7"/>
  <c r="JF36" i="7"/>
  <c r="JD35" i="7"/>
  <c r="X116" i="7"/>
  <c r="X117" i="7" s="1"/>
  <c r="X118" i="7" s="1"/>
  <c r="IU51" i="7"/>
  <c r="IU41" i="7"/>
  <c r="IU44" i="7"/>
  <c r="IU56" i="7"/>
  <c r="IU45" i="7"/>
  <c r="IU66" i="7"/>
  <c r="IU64" i="7"/>
  <c r="AH91" i="8"/>
  <c r="AF90" i="8" s="1"/>
  <c r="AI92" i="8"/>
  <c r="AI94" i="8" s="1"/>
  <c r="K94" i="8" s="1"/>
  <c r="AO127" i="7"/>
  <c r="GL48" i="7" s="1"/>
  <c r="IV31" i="7"/>
  <c r="IW30" i="7" s="1"/>
  <c r="IW52" i="7" s="1"/>
  <c r="EO8" i="7"/>
  <c r="EP7" i="7"/>
  <c r="EB2" i="7"/>
  <c r="DU36" i="7"/>
  <c r="ED2" i="7" s="1"/>
  <c r="IL70" i="7"/>
  <c r="IL46" i="7"/>
  <c r="JD36" i="7"/>
  <c r="IV40" i="7"/>
  <c r="IU50" i="7"/>
  <c r="IU48" i="7"/>
  <c r="IU40" i="7"/>
  <c r="IU57" i="7"/>
  <c r="IU36" i="7"/>
  <c r="IU35" i="7"/>
  <c r="IU46" i="7"/>
  <c r="IU53" i="7"/>
  <c r="IU55" i="7"/>
  <c r="IU59" i="7"/>
  <c r="IU43" i="7"/>
  <c r="IU47" i="7"/>
  <c r="IU58" i="7"/>
  <c r="IU60" i="7"/>
  <c r="IU62" i="7"/>
  <c r="IU65" i="7"/>
  <c r="IU68" i="7"/>
  <c r="IU70" i="7"/>
  <c r="IN37" i="7"/>
  <c r="CB38" i="7"/>
  <c r="IN61" i="7"/>
  <c r="GL38" i="7"/>
  <c r="EB16" i="7" s="1"/>
  <c r="IN48" i="7"/>
  <c r="DS37" i="7"/>
  <c r="IN58" i="7"/>
  <c r="DS47" i="7"/>
  <c r="W125" i="7"/>
  <c r="U140" i="7" s="1"/>
  <c r="CB46" i="7"/>
  <c r="IN45" i="7"/>
  <c r="IO45" i="7" s="1"/>
  <c r="IP45" i="7" s="1"/>
  <c r="Z45" i="7" s="1"/>
  <c r="BB25" i="7" s="1"/>
  <c r="AI123" i="7"/>
  <c r="AI138" i="7" s="1"/>
  <c r="IN67" i="7"/>
  <c r="IO67" i="7" s="1"/>
  <c r="IP67" i="7" s="1"/>
  <c r="AN43" i="7" s="1"/>
  <c r="GL44" i="7"/>
  <c r="IN54" i="7"/>
  <c r="DS43" i="7"/>
  <c r="CB42" i="7"/>
  <c r="IN41" i="7"/>
  <c r="IN63" i="7"/>
  <c r="GL40" i="7"/>
  <c r="EB18" i="7" s="1"/>
  <c r="DS39" i="7"/>
  <c r="EB5" i="7" s="1"/>
  <c r="IN50" i="7"/>
  <c r="IN69" i="7"/>
  <c r="GL46" i="7"/>
  <c r="AB124" i="7"/>
  <c r="AB139" i="7" s="1"/>
  <c r="IN56" i="7"/>
  <c r="IO56" i="7" s="1"/>
  <c r="IP56" i="7" s="1"/>
  <c r="DS45" i="7"/>
  <c r="W123" i="7"/>
  <c r="U138" i="7" s="1"/>
  <c r="IN43" i="7"/>
  <c r="IO43" i="7" s="1"/>
  <c r="IP43" i="7" s="1"/>
  <c r="Z43" i="7" s="1"/>
  <c r="BB23" i="7" s="1"/>
  <c r="CB44" i="7"/>
  <c r="IN65" i="7"/>
  <c r="GL42" i="7"/>
  <c r="EB20" i="7" s="1"/>
  <c r="IN52" i="7"/>
  <c r="DS41" i="7"/>
  <c r="EB7" i="7" s="1"/>
  <c r="CB40" i="7"/>
  <c r="IN39" i="7"/>
  <c r="JF52" i="7"/>
  <c r="GN9" i="7"/>
  <c r="GO8" i="7"/>
  <c r="DU9" i="7"/>
  <c r="DV8" i="7"/>
  <c r="CD17" i="7"/>
  <c r="CE16" i="7"/>
  <c r="W126" i="7"/>
  <c r="U141" i="7" s="1"/>
  <c r="IN46" i="7"/>
  <c r="IO46" i="7" s="1"/>
  <c r="IP46" i="7" s="1"/>
  <c r="Z46" i="7" s="1"/>
  <c r="BB26" i="7" s="1"/>
  <c r="CB47" i="7"/>
  <c r="AI124" i="7"/>
  <c r="AI139" i="7" s="1"/>
  <c r="GL45" i="7"/>
  <c r="IN68" i="7"/>
  <c r="IO68" i="7" s="1"/>
  <c r="IP68" i="7" s="1"/>
  <c r="AN44" i="7" s="1"/>
  <c r="IN55" i="7"/>
  <c r="DS44" i="7"/>
  <c r="IN42" i="7"/>
  <c r="CB43" i="7"/>
  <c r="GL41" i="7"/>
  <c r="EB19" i="7" s="1"/>
  <c r="IN64" i="7"/>
  <c r="DS40" i="7"/>
  <c r="EB6" i="7" s="1"/>
  <c r="IN51" i="7"/>
  <c r="IN38" i="7"/>
  <c r="CB39" i="7"/>
  <c r="IN60" i="7"/>
  <c r="GL37" i="7"/>
  <c r="EB15" i="7" s="1"/>
  <c r="IN59" i="7"/>
  <c r="GL36" i="7"/>
  <c r="EB14" i="7" s="1"/>
  <c r="AI126" i="7"/>
  <c r="AI141" i="7" s="1"/>
  <c r="GL47" i="7"/>
  <c r="IN70" i="7"/>
  <c r="AB125" i="7"/>
  <c r="AB140" i="7" s="1"/>
  <c r="IN57" i="7"/>
  <c r="IO57" i="7" s="1"/>
  <c r="IP57" i="7" s="1"/>
  <c r="DS46" i="7"/>
  <c r="EB12" i="7" s="1"/>
  <c r="W124" i="7"/>
  <c r="U139" i="7" s="1"/>
  <c r="IN44" i="7"/>
  <c r="IO44" i="7" s="1"/>
  <c r="IP44" i="7" s="1"/>
  <c r="Z44" i="7" s="1"/>
  <c r="BB24" i="7" s="1"/>
  <c r="CB45" i="7"/>
  <c r="GL43" i="7"/>
  <c r="IN66" i="7"/>
  <c r="IN53" i="7"/>
  <c r="DS42" i="7"/>
  <c r="CB41" i="7"/>
  <c r="IN40" i="7"/>
  <c r="IN62" i="7"/>
  <c r="GL39" i="7"/>
  <c r="EB17" i="7" s="1"/>
  <c r="IN49" i="7"/>
  <c r="DS38" i="7"/>
  <c r="EB4" i="7" s="1"/>
  <c r="CB37" i="7"/>
  <c r="IN36" i="7"/>
  <c r="CB36" i="7"/>
  <c r="IN35" i="7"/>
  <c r="X128" i="7"/>
  <c r="AL128" i="7"/>
  <c r="AE128" i="7"/>
  <c r="IZ34" i="7"/>
  <c r="JF49" i="7"/>
  <c r="JF48" i="7"/>
  <c r="JG32" i="7"/>
  <c r="W115" i="7"/>
  <c r="W130" i="7" s="1"/>
  <c r="KB51" i="7"/>
  <c r="KC51" i="7" s="1"/>
  <c r="KB49" i="7"/>
  <c r="KC49" i="7" s="1"/>
  <c r="KB41" i="7"/>
  <c r="KC41" i="7" s="1"/>
  <c r="KB57" i="7"/>
  <c r="KC57" i="7" s="1"/>
  <c r="KB39" i="7"/>
  <c r="KC39" i="7" s="1"/>
  <c r="KB36" i="7"/>
  <c r="KC36" i="7" s="1"/>
  <c r="KB35" i="7"/>
  <c r="KC35" i="7" s="1"/>
  <c r="JY34" i="7"/>
  <c r="JI34" i="7"/>
  <c r="JA34" i="7"/>
  <c r="JH34" i="7"/>
  <c r="JT34" i="7"/>
  <c r="JX34" i="7"/>
  <c r="KB42" i="7"/>
  <c r="KC42" i="7" s="1"/>
  <c r="KB45" i="7"/>
  <c r="KC45" i="7" s="1"/>
  <c r="KB46" i="7"/>
  <c r="KC46" i="7" s="1"/>
  <c r="KB54" i="7"/>
  <c r="KC54" i="7" s="1"/>
  <c r="KB56" i="7"/>
  <c r="KC56" i="7" s="1"/>
  <c r="KB59" i="7"/>
  <c r="KC59" i="7" s="1"/>
  <c r="KB65" i="7"/>
  <c r="KC65" i="7" s="1"/>
  <c r="KB61" i="7"/>
  <c r="KC61" i="7" s="1"/>
  <c r="KB66" i="7"/>
  <c r="KC66" i="7" s="1"/>
  <c r="KB68" i="7"/>
  <c r="KC68" i="7" s="1"/>
  <c r="KB70" i="7"/>
  <c r="KC70" i="7" s="1"/>
  <c r="AH127" i="7"/>
  <c r="DS48" i="7" s="1"/>
  <c r="IN47" i="7"/>
  <c r="IW70" i="7"/>
  <c r="IW68" i="7"/>
  <c r="IW66" i="7"/>
  <c r="IW61" i="7"/>
  <c r="IW65" i="7"/>
  <c r="IW59" i="7"/>
  <c r="IW55" i="7"/>
  <c r="IW53" i="7"/>
  <c r="IW58" i="7"/>
  <c r="IW45" i="7"/>
  <c r="IW42" i="7"/>
  <c r="IW36" i="7"/>
  <c r="IW37" i="7"/>
  <c r="KB63" i="7"/>
  <c r="KC63" i="7" s="1"/>
  <c r="KB52" i="7"/>
  <c r="KC52" i="7" s="1"/>
  <c r="KB50" i="7"/>
  <c r="KC50" i="7" s="1"/>
  <c r="KB48" i="7"/>
  <c r="KC48" i="7" s="1"/>
  <c r="KB40" i="7"/>
  <c r="KC40" i="7" s="1"/>
  <c r="KB44" i="7"/>
  <c r="KC44" i="7" s="1"/>
  <c r="KB37" i="7"/>
  <c r="KC37" i="7" s="1"/>
  <c r="JW34" i="7"/>
  <c r="JG34" i="7"/>
  <c r="IU38" i="7"/>
  <c r="KB38" i="7"/>
  <c r="KC38" i="7" s="1"/>
  <c r="KB43" i="7"/>
  <c r="KC43" i="7" s="1"/>
  <c r="KB47" i="7"/>
  <c r="KC47" i="7" s="1"/>
  <c r="KB58" i="7"/>
  <c r="KC58" i="7" s="1"/>
  <c r="KB53" i="7"/>
  <c r="KC53" i="7" s="1"/>
  <c r="KB55" i="7"/>
  <c r="KC55" i="7" s="1"/>
  <c r="KB64" i="7"/>
  <c r="KC64" i="7" s="1"/>
  <c r="KB60" i="7"/>
  <c r="KC60" i="7" s="1"/>
  <c r="KB62" i="7"/>
  <c r="KC62" i="7" s="1"/>
  <c r="KB67" i="7"/>
  <c r="KC67" i="7" s="1"/>
  <c r="KB69" i="7"/>
  <c r="KC69" i="7" s="1"/>
  <c r="IU39" i="7"/>
  <c r="JJ34" i="7"/>
  <c r="AG45" i="7" l="1"/>
  <c r="BG25" i="7" s="1"/>
  <c r="AG44" i="7"/>
  <c r="BG24" i="7" s="1"/>
  <c r="AY126" i="7"/>
  <c r="U46" i="7" s="1"/>
  <c r="AY26" i="7" s="1"/>
  <c r="IV36" i="7"/>
  <c r="IW44" i="7"/>
  <c r="IV57" i="7"/>
  <c r="IW41" i="7"/>
  <c r="IW49" i="7"/>
  <c r="IW51" i="7"/>
  <c r="JK34" i="7"/>
  <c r="W117" i="7"/>
  <c r="W132" i="7" s="1"/>
  <c r="W127" i="7"/>
  <c r="X119" i="7"/>
  <c r="X120" i="7" s="1"/>
  <c r="X121" i="7" s="1"/>
  <c r="W118" i="7"/>
  <c r="W133" i="7" s="1"/>
  <c r="W116" i="7"/>
  <c r="W131" i="7" s="1"/>
  <c r="IW31" i="7"/>
  <c r="IW35" i="7"/>
  <c r="IW39" i="7"/>
  <c r="IW43" i="7"/>
  <c r="IW47" i="7"/>
  <c r="IW46" i="7"/>
  <c r="IW54" i="7"/>
  <c r="JF34" i="7" s="1"/>
  <c r="IW56" i="7"/>
  <c r="IW64" i="7"/>
  <c r="IW60" i="7"/>
  <c r="IW62" i="7"/>
  <c r="IW67" i="7"/>
  <c r="IW69" i="7"/>
  <c r="IV38" i="7"/>
  <c r="AY115" i="7"/>
  <c r="U35" i="7" s="1"/>
  <c r="AY15" i="7" s="1"/>
  <c r="W120" i="7"/>
  <c r="W135" i="7" s="1"/>
  <c r="JS36" i="7"/>
  <c r="JT36" i="7" s="1"/>
  <c r="IO36" i="7" s="1"/>
  <c r="IP36" i="7" s="1"/>
  <c r="Z36" i="7" s="1"/>
  <c r="BB16" i="7" s="1"/>
  <c r="JG59" i="7"/>
  <c r="JG60" i="7"/>
  <c r="JG65" i="7"/>
  <c r="JG50" i="7"/>
  <c r="JG63" i="7"/>
  <c r="JG38" i="7"/>
  <c r="AN129" i="7"/>
  <c r="AM141" i="7" s="1"/>
  <c r="AF91" i="8"/>
  <c r="Y91" i="8" s="1"/>
  <c r="Z97" i="8" s="1"/>
  <c r="C97" i="8" s="1"/>
  <c r="JM34" i="7"/>
  <c r="AY125" i="7"/>
  <c r="U45" i="7" s="1"/>
  <c r="AY25" i="7" s="1"/>
  <c r="AI125" i="7"/>
  <c r="AI140" i="7" s="1"/>
  <c r="IW38" i="7"/>
  <c r="IV35" i="7"/>
  <c r="IV44" i="7"/>
  <c r="JS44" i="7" s="1"/>
  <c r="JT44" i="7" s="1"/>
  <c r="IW40" i="7"/>
  <c r="IW48" i="7"/>
  <c r="IW50" i="7"/>
  <c r="IV41" i="7"/>
  <c r="JS41" i="7" s="1"/>
  <c r="JT41" i="7" s="1"/>
  <c r="IO41" i="7" s="1"/>
  <c r="IP41" i="7" s="1"/>
  <c r="Z41" i="7" s="1"/>
  <c r="BB21" i="7" s="1"/>
  <c r="IV48" i="7"/>
  <c r="IV42" i="7"/>
  <c r="IV43" i="7"/>
  <c r="IV45" i="7"/>
  <c r="JS45" i="7" s="1"/>
  <c r="JT45" i="7" s="1"/>
  <c r="IV46" i="7"/>
  <c r="IV53" i="7"/>
  <c r="IV55" i="7"/>
  <c r="JS55" i="7" s="1"/>
  <c r="JT55" i="7" s="1"/>
  <c r="IV58" i="7"/>
  <c r="JS58" i="7" s="1"/>
  <c r="JT58" i="7" s="1"/>
  <c r="IV61" i="7"/>
  <c r="IV62" i="7"/>
  <c r="IV65" i="7"/>
  <c r="IV66" i="7"/>
  <c r="IV67" i="7"/>
  <c r="IV68" i="7"/>
  <c r="JS68" i="7" s="1"/>
  <c r="JT68" i="7" s="1"/>
  <c r="IV69" i="7"/>
  <c r="JS69" i="7" s="1"/>
  <c r="JT69" i="7" s="1"/>
  <c r="IO69" i="7" s="1"/>
  <c r="IP69" i="7" s="1"/>
  <c r="AN45" i="7" s="1"/>
  <c r="BL25" i="7" s="1"/>
  <c r="IV70" i="7"/>
  <c r="JS70" i="7" s="1"/>
  <c r="JT70" i="7" s="1"/>
  <c r="IW57" i="7"/>
  <c r="JS57" i="7" s="1"/>
  <c r="JT57" i="7" s="1"/>
  <c r="IV37" i="7"/>
  <c r="IV39" i="7"/>
  <c r="IV49" i="7"/>
  <c r="IV50" i="7"/>
  <c r="IV51" i="7"/>
  <c r="IV52" i="7"/>
  <c r="IV47" i="7"/>
  <c r="IV54" i="7"/>
  <c r="JS54" i="7" s="1"/>
  <c r="JT54" i="7" s="1"/>
  <c r="IO54" i="7" s="1"/>
  <c r="IP54" i="7" s="1"/>
  <c r="IV56" i="7"/>
  <c r="IV59" i="7"/>
  <c r="IV60" i="7"/>
  <c r="IV63" i="7"/>
  <c r="IW63" i="7"/>
  <c r="IV64" i="7"/>
  <c r="JS53" i="7"/>
  <c r="JT53" i="7" s="1"/>
  <c r="IO53" i="7" s="1"/>
  <c r="IP53" i="7" s="1"/>
  <c r="AG41" i="7" s="1"/>
  <c r="BG21" i="7" s="1"/>
  <c r="IO70" i="7"/>
  <c r="IP70" i="7" s="1"/>
  <c r="AN46" i="7" s="1"/>
  <c r="BL26" i="7" s="1"/>
  <c r="Z129" i="7"/>
  <c r="Y141" i="7" s="1"/>
  <c r="AP128" i="7"/>
  <c r="IN74" i="7" s="1"/>
  <c r="EO9" i="7"/>
  <c r="EP8" i="7"/>
  <c r="EB21" i="7"/>
  <c r="EB25" i="7"/>
  <c r="IA45" i="7"/>
  <c r="IB45" i="7" s="1"/>
  <c r="EB23" i="7"/>
  <c r="EF45" i="7"/>
  <c r="EG45" i="7" s="1"/>
  <c r="EB11" i="7"/>
  <c r="EF44" i="7"/>
  <c r="EG44" i="7" s="1"/>
  <c r="EB10" i="7"/>
  <c r="EB24" i="7"/>
  <c r="EB9" i="7"/>
  <c r="IA44" i="7"/>
  <c r="IB44" i="7" s="1"/>
  <c r="EB22" i="7"/>
  <c r="BC126" i="7"/>
  <c r="EB8" i="7"/>
  <c r="DW37" i="7"/>
  <c r="DW38" i="7" s="1"/>
  <c r="EB3" i="7"/>
  <c r="EB13" i="7"/>
  <c r="BC123" i="7"/>
  <c r="BL24" i="7"/>
  <c r="BL23" i="7"/>
  <c r="GM36" i="7"/>
  <c r="EC14" i="7" s="1"/>
  <c r="GN36" i="7"/>
  <c r="ED14" i="7" s="1"/>
  <c r="GM43" i="7"/>
  <c r="EC21" i="7" s="1"/>
  <c r="GM47" i="7"/>
  <c r="EC25" i="7" s="1"/>
  <c r="GM45" i="7"/>
  <c r="EC23" i="7" s="1"/>
  <c r="HT45" i="7"/>
  <c r="GY45" i="7"/>
  <c r="EF46" i="7"/>
  <c r="EG46" i="7" s="1"/>
  <c r="DZ46" i="7"/>
  <c r="EC46" i="7" s="1"/>
  <c r="HT44" i="7"/>
  <c r="GY44" i="7"/>
  <c r="GM39" i="7"/>
  <c r="EC17" i="7" s="1"/>
  <c r="GM37" i="7"/>
  <c r="EC15" i="7" s="1"/>
  <c r="GM41" i="7"/>
  <c r="EC19" i="7" s="1"/>
  <c r="IO55" i="7"/>
  <c r="IP55" i="7" s="1"/>
  <c r="AG43" i="7" s="1"/>
  <c r="BG23" i="7" s="1"/>
  <c r="AB123" i="7"/>
  <c r="AB138" i="7" s="1"/>
  <c r="BC124" i="7"/>
  <c r="AI44" i="7" s="1"/>
  <c r="AB126" i="7"/>
  <c r="IO58" i="7"/>
  <c r="IP58" i="7" s="1"/>
  <c r="AY117" i="7"/>
  <c r="U37" i="7" s="1"/>
  <c r="AY17" i="7" s="1"/>
  <c r="DT46" i="7"/>
  <c r="EC12" i="7" s="1"/>
  <c r="FV46" i="7"/>
  <c r="FW46" i="7" s="1"/>
  <c r="FO46" i="7"/>
  <c r="FP46" i="7" s="1"/>
  <c r="FA46" i="7"/>
  <c r="FB46" i="7" s="1"/>
  <c r="GC46" i="7"/>
  <c r="GD46" i="7" s="1"/>
  <c r="FH46" i="7"/>
  <c r="FI46" i="7" s="1"/>
  <c r="ET46" i="7"/>
  <c r="EU46" i="7" s="1"/>
  <c r="EM46" i="7"/>
  <c r="EN46" i="7" s="1"/>
  <c r="DU37" i="7"/>
  <c r="DT37" i="7"/>
  <c r="DS55" i="7"/>
  <c r="DW55" i="7" s="1"/>
  <c r="GM38" i="7"/>
  <c r="EC16" i="7" s="1"/>
  <c r="GN38" i="7"/>
  <c r="ED16" i="7" s="1"/>
  <c r="DT36" i="7"/>
  <c r="EC2" i="7" s="1"/>
  <c r="DT38" i="7"/>
  <c r="EC4" i="7" s="1"/>
  <c r="DT42" i="7"/>
  <c r="EC8" i="7" s="1"/>
  <c r="DT40" i="7"/>
  <c r="EC6" i="7" s="1"/>
  <c r="DT44" i="7"/>
  <c r="EC10" i="7" s="1"/>
  <c r="FV45" i="7"/>
  <c r="FW45" i="7" s="1"/>
  <c r="FO45" i="7"/>
  <c r="FP45" i="7" s="1"/>
  <c r="FA45" i="7"/>
  <c r="FB45" i="7" s="1"/>
  <c r="GC45" i="7"/>
  <c r="GD45" i="7" s="1"/>
  <c r="FH45" i="7"/>
  <c r="FI45" i="7" s="1"/>
  <c r="ET45" i="7"/>
  <c r="EU45" i="7" s="1"/>
  <c r="EM45" i="7"/>
  <c r="EN45" i="7" s="1"/>
  <c r="CD38" i="7"/>
  <c r="CC38" i="7"/>
  <c r="JH32" i="7"/>
  <c r="JI32" i="7" s="1"/>
  <c r="JG37" i="7"/>
  <c r="DC45" i="7"/>
  <c r="DD45" i="7" s="1"/>
  <c r="DJ45" i="7"/>
  <c r="DK45" i="7" s="1"/>
  <c r="CC45" i="7"/>
  <c r="CE45" i="7" s="1"/>
  <c r="DC47" i="7"/>
  <c r="DD47" i="7" s="1"/>
  <c r="DE47" i="7" s="1"/>
  <c r="DF47" i="7" s="1"/>
  <c r="CC47" i="7"/>
  <c r="CE47" i="7" s="1"/>
  <c r="DJ47" i="7"/>
  <c r="DK47" i="7" s="1"/>
  <c r="DL47" i="7" s="1"/>
  <c r="DM47" i="7" s="1"/>
  <c r="CC40" i="7"/>
  <c r="CD40" i="7"/>
  <c r="DJ44" i="7"/>
  <c r="DK44" i="7" s="1"/>
  <c r="DC44" i="7"/>
  <c r="DD44" i="7" s="1"/>
  <c r="CC44" i="7"/>
  <c r="CE44" i="7" s="1"/>
  <c r="CI44" i="7"/>
  <c r="CL44" i="7" s="1"/>
  <c r="CV44" i="7"/>
  <c r="CW44" i="7" s="1"/>
  <c r="CD44" i="7"/>
  <c r="CO44" i="7"/>
  <c r="CP44" i="7" s="1"/>
  <c r="GM46" i="7"/>
  <c r="GN46" i="7"/>
  <c r="ED24" i="7" s="1"/>
  <c r="GM40" i="7"/>
  <c r="EC18" i="7" s="1"/>
  <c r="GN40" i="7"/>
  <c r="ED18" i="7" s="1"/>
  <c r="HM44" i="7"/>
  <c r="HN44" i="7" s="1"/>
  <c r="GM44" i="7"/>
  <c r="HF44" i="7"/>
  <c r="HG44" i="7" s="1"/>
  <c r="GS44" i="7"/>
  <c r="GV44" i="7" s="1"/>
  <c r="GN44" i="7"/>
  <c r="ED22" i="7" s="1"/>
  <c r="CV46" i="7"/>
  <c r="CW46" i="7" s="1"/>
  <c r="DJ46" i="7"/>
  <c r="DK46" i="7" s="1"/>
  <c r="DC46" i="7"/>
  <c r="DD46" i="7" s="1"/>
  <c r="CC46" i="7"/>
  <c r="CE46" i="7" s="1"/>
  <c r="CO46" i="7"/>
  <c r="CP46" i="7" s="1"/>
  <c r="CD46" i="7"/>
  <c r="CI46" i="7"/>
  <c r="CL46" i="7" s="1"/>
  <c r="DT47" i="7"/>
  <c r="DU47" i="7"/>
  <c r="DS65" i="7"/>
  <c r="BA124" i="7"/>
  <c r="CC36" i="7"/>
  <c r="CC37" i="7"/>
  <c r="CC41" i="7"/>
  <c r="CC39" i="7"/>
  <c r="CC43" i="7"/>
  <c r="DS59" i="7"/>
  <c r="DT41" i="7"/>
  <c r="DU41" i="7"/>
  <c r="GM42" i="7"/>
  <c r="GN42" i="7"/>
  <c r="ED20" i="7" s="1"/>
  <c r="DT45" i="7"/>
  <c r="EC11" i="7" s="1"/>
  <c r="DS63" i="7"/>
  <c r="DZ45" i="7"/>
  <c r="EC45" i="7" s="1"/>
  <c r="DU45" i="7"/>
  <c r="DT39" i="7"/>
  <c r="DS57" i="7"/>
  <c r="DU39" i="7"/>
  <c r="CD42" i="7"/>
  <c r="CC42" i="7"/>
  <c r="DT43" i="7"/>
  <c r="EC9" i="7" s="1"/>
  <c r="DS61" i="7"/>
  <c r="DU43" i="7"/>
  <c r="JS37" i="7"/>
  <c r="JT37" i="7" s="1"/>
  <c r="IO37" i="7" s="1"/>
  <c r="IP37" i="7" s="1"/>
  <c r="Z37" i="7" s="1"/>
  <c r="BB17" i="7" s="1"/>
  <c r="AY123" i="7"/>
  <c r="U43" i="7" s="1"/>
  <c r="AY23" i="7" s="1"/>
  <c r="GN10" i="7"/>
  <c r="GO9" i="7"/>
  <c r="DU10" i="7"/>
  <c r="DV9" i="7"/>
  <c r="CD18" i="7"/>
  <c r="CE17" i="7"/>
  <c r="BA125" i="7"/>
  <c r="DU38" i="7"/>
  <c r="DS56" i="7"/>
  <c r="GN39" i="7"/>
  <c r="ED17" i="7" s="1"/>
  <c r="DS60" i="7"/>
  <c r="DU42" i="7"/>
  <c r="GN43" i="7"/>
  <c r="ED21" i="7" s="1"/>
  <c r="CD45" i="7"/>
  <c r="CI45" i="7"/>
  <c r="CL45" i="7" s="1"/>
  <c r="CV45" i="7"/>
  <c r="CW45" i="7" s="1"/>
  <c r="CO45" i="7"/>
  <c r="CP45" i="7" s="1"/>
  <c r="GN47" i="7"/>
  <c r="ED25" i="7" s="1"/>
  <c r="GP37" i="7"/>
  <c r="GN37" i="7"/>
  <c r="ED15" i="7" s="1"/>
  <c r="CD39" i="7"/>
  <c r="CD43" i="7"/>
  <c r="CD36" i="7"/>
  <c r="CD37" i="7"/>
  <c r="CF37" i="7"/>
  <c r="CD41" i="7"/>
  <c r="DS64" i="7"/>
  <c r="DU46" i="7"/>
  <c r="DS58" i="7"/>
  <c r="DU40" i="7"/>
  <c r="GN41" i="7"/>
  <c r="ED19" i="7" s="1"/>
  <c r="DS62" i="7"/>
  <c r="DU44" i="7"/>
  <c r="GN45" i="7"/>
  <c r="ED23" i="7" s="1"/>
  <c r="HF45" i="7"/>
  <c r="HG45" i="7" s="1"/>
  <c r="HM45" i="7"/>
  <c r="HN45" i="7" s="1"/>
  <c r="GS45" i="7"/>
  <c r="GV45" i="7" s="1"/>
  <c r="CO47" i="7"/>
  <c r="CP47" i="7" s="1"/>
  <c r="CQ47" i="7" s="1"/>
  <c r="CV47" i="7"/>
  <c r="CW47" i="7" s="1"/>
  <c r="CX47" i="7" s="1"/>
  <c r="CI47" i="7"/>
  <c r="CD47" i="7"/>
  <c r="AY124" i="7"/>
  <c r="U44" i="7" s="1"/>
  <c r="AY24" i="7" s="1"/>
  <c r="JH50" i="7"/>
  <c r="JH60" i="7"/>
  <c r="JH59" i="7"/>
  <c r="Y140" i="7"/>
  <c r="JB34" i="7"/>
  <c r="AQ127" i="7"/>
  <c r="DS54" i="7"/>
  <c r="AQ130" i="7"/>
  <c r="IN119" i="7" l="1"/>
  <c r="IN125" i="7"/>
  <c r="AL67" i="7" s="1"/>
  <c r="JH38" i="7"/>
  <c r="JN34" i="7"/>
  <c r="JS47" i="7"/>
  <c r="JT47" i="7" s="1"/>
  <c r="IO47" i="7" s="1"/>
  <c r="IP47" i="7" s="1"/>
  <c r="AG35" i="7" s="1"/>
  <c r="BG15" i="7" s="1"/>
  <c r="JS49" i="7"/>
  <c r="JT49" i="7" s="1"/>
  <c r="IO49" i="7" s="1"/>
  <c r="IP49" i="7" s="1"/>
  <c r="AG37" i="7" s="1"/>
  <c r="BG17" i="7" s="1"/>
  <c r="AY118" i="7"/>
  <c r="U38" i="7" s="1"/>
  <c r="AY18" i="7" s="1"/>
  <c r="AG42" i="7"/>
  <c r="BG22" i="7" s="1"/>
  <c r="AG46" i="7"/>
  <c r="BG26" i="7" s="1"/>
  <c r="AY116" i="7"/>
  <c r="U36" i="7" s="1"/>
  <c r="AY16" i="7" s="1"/>
  <c r="IL58" i="7"/>
  <c r="AQ129" i="7" s="1"/>
  <c r="AQ128" i="7" s="1"/>
  <c r="BP54" i="7" s="1"/>
  <c r="JE34" i="7"/>
  <c r="JS56" i="7"/>
  <c r="JT56" i="7" s="1"/>
  <c r="JS65" i="7"/>
  <c r="JT65" i="7" s="1"/>
  <c r="IO65" i="7" s="1"/>
  <c r="IP65" i="7" s="1"/>
  <c r="AN41" i="7" s="1"/>
  <c r="BL21" i="7" s="1"/>
  <c r="W119" i="7"/>
  <c r="W134" i="7" s="1"/>
  <c r="X122" i="7"/>
  <c r="W121" i="7"/>
  <c r="AY120" i="7"/>
  <c r="U40" i="7" s="1"/>
  <c r="AY20" i="7" s="1"/>
  <c r="Y132" i="7"/>
  <c r="JS67" i="7"/>
  <c r="JT67" i="7" s="1"/>
  <c r="JS46" i="7"/>
  <c r="JT46" i="7" s="1"/>
  <c r="JS43" i="7"/>
  <c r="JT43" i="7" s="1"/>
  <c r="AM136" i="7"/>
  <c r="JH61" i="7"/>
  <c r="JH51" i="7"/>
  <c r="JS51" i="7" s="1"/>
  <c r="JT51" i="7" s="1"/>
  <c r="IO51" i="7" s="1"/>
  <c r="IP51" i="7" s="1"/>
  <c r="AG39" i="7" s="1"/>
  <c r="BG19" i="7" s="1"/>
  <c r="AM132" i="7"/>
  <c r="AM140" i="7"/>
  <c r="GO45" i="7"/>
  <c r="GO43" i="7"/>
  <c r="Y136" i="7"/>
  <c r="AM130" i="7"/>
  <c r="AM134" i="7"/>
  <c r="AM138" i="7"/>
  <c r="JH62" i="7"/>
  <c r="JH64" i="7"/>
  <c r="JH66" i="7"/>
  <c r="JS66" i="7" s="1"/>
  <c r="JT66" i="7" s="1"/>
  <c r="IO66" i="7" s="1"/>
  <c r="IP66" i="7" s="1"/>
  <c r="AN42" i="7" s="1"/>
  <c r="BL22" i="7" s="1"/>
  <c r="JH52" i="7"/>
  <c r="Y130" i="7"/>
  <c r="Y134" i="7"/>
  <c r="Y138" i="7"/>
  <c r="IN73" i="7"/>
  <c r="AM131" i="7"/>
  <c r="AM133" i="7"/>
  <c r="AM135" i="7"/>
  <c r="AM137" i="7"/>
  <c r="AM139" i="7"/>
  <c r="JS59" i="7"/>
  <c r="JT59" i="7" s="1"/>
  <c r="IO59" i="7" s="1"/>
  <c r="IP59" i="7" s="1"/>
  <c r="AN35" i="7" s="1"/>
  <c r="CE43" i="7"/>
  <c r="JS48" i="7"/>
  <c r="JT48" i="7" s="1"/>
  <c r="IO48" i="7" s="1"/>
  <c r="IP48" i="7" s="1"/>
  <c r="AG36" i="7" s="1"/>
  <c r="BG16" i="7" s="1"/>
  <c r="Z96" i="8"/>
  <c r="C96" i="8" s="1"/>
  <c r="AA101" i="8"/>
  <c r="D101" i="8" s="1"/>
  <c r="AP105" i="8"/>
  <c r="T105" i="8" s="1"/>
  <c r="AO110" i="8"/>
  <c r="S110" i="8" s="1"/>
  <c r="AL110" i="8"/>
  <c r="O110" i="8" s="1"/>
  <c r="AL109" i="8"/>
  <c r="O109" i="8" s="1"/>
  <c r="AL108" i="8"/>
  <c r="O108" i="8" s="1"/>
  <c r="AL107" i="8"/>
  <c r="O107" i="8" s="1"/>
  <c r="AL106" i="8"/>
  <c r="O106" i="8" s="1"/>
  <c r="AL105" i="8"/>
  <c r="O105" i="8" s="1"/>
  <c r="AL104" i="8"/>
  <c r="O104" i="8" s="1"/>
  <c r="AL103" i="8"/>
  <c r="O103" i="8" s="1"/>
  <c r="AL102" i="8"/>
  <c r="O102" i="8" s="1"/>
  <c r="AJ106" i="8"/>
  <c r="M106" i="8" s="1"/>
  <c r="AJ102" i="8"/>
  <c r="M102" i="8" s="1"/>
  <c r="AG106" i="8"/>
  <c r="K106" i="8" s="1"/>
  <c r="AG102" i="8"/>
  <c r="K102" i="8" s="1"/>
  <c r="AE109" i="8"/>
  <c r="H109" i="8" s="1"/>
  <c r="AE105" i="8"/>
  <c r="H105" i="8" s="1"/>
  <c r="AD110" i="8"/>
  <c r="G110" i="8" s="1"/>
  <c r="AD106" i="8"/>
  <c r="G106" i="8" s="1"/>
  <c r="AD102" i="8"/>
  <c r="G102" i="8" s="1"/>
  <c r="AC107" i="8"/>
  <c r="F107" i="8" s="1"/>
  <c r="AC103" i="8"/>
  <c r="F103" i="8" s="1"/>
  <c r="AB107" i="8"/>
  <c r="E107" i="8" s="1"/>
  <c r="AB103" i="8"/>
  <c r="E103" i="8" s="1"/>
  <c r="AA106" i="8"/>
  <c r="D106" i="8" s="1"/>
  <c r="AA102" i="8"/>
  <c r="D102" i="8" s="1"/>
  <c r="AP106" i="8"/>
  <c r="T106" i="8" s="1"/>
  <c r="AP102" i="8"/>
  <c r="T102" i="8" s="1"/>
  <c r="AM110" i="8"/>
  <c r="P110" i="8" s="1"/>
  <c r="AM109" i="8"/>
  <c r="P109" i="8" s="1"/>
  <c r="AM108" i="8"/>
  <c r="P108" i="8" s="1"/>
  <c r="AM107" i="8"/>
  <c r="P107" i="8" s="1"/>
  <c r="AM106" i="8"/>
  <c r="P106" i="8" s="1"/>
  <c r="AM105" i="8"/>
  <c r="P105" i="8" s="1"/>
  <c r="AM104" i="8"/>
  <c r="P104" i="8" s="1"/>
  <c r="AM103" i="8"/>
  <c r="P103" i="8" s="1"/>
  <c r="AM102" i="8"/>
  <c r="P102" i="8" s="1"/>
  <c r="AJ107" i="8"/>
  <c r="M107" i="8" s="1"/>
  <c r="AJ103" i="8"/>
  <c r="M103" i="8" s="1"/>
  <c r="AG107" i="8"/>
  <c r="K107" i="8" s="1"/>
  <c r="AG103" i="8"/>
  <c r="K103" i="8" s="1"/>
  <c r="AE110" i="8"/>
  <c r="AE106" i="8"/>
  <c r="H106" i="8" s="1"/>
  <c r="AE102" i="8"/>
  <c r="H102" i="8" s="1"/>
  <c r="AD107" i="8"/>
  <c r="G107" i="8" s="1"/>
  <c r="AD103" i="8"/>
  <c r="G103" i="8" s="1"/>
  <c r="AC108" i="8"/>
  <c r="F108" i="8" s="1"/>
  <c r="AC104" i="8"/>
  <c r="F104" i="8" s="1"/>
  <c r="AB108" i="8"/>
  <c r="E108" i="8" s="1"/>
  <c r="AB104" i="8"/>
  <c r="E104" i="8" s="1"/>
  <c r="AA107" i="8"/>
  <c r="D107" i="8" s="1"/>
  <c r="AA103" i="8"/>
  <c r="D103" i="8" s="1"/>
  <c r="AP107" i="8"/>
  <c r="T107" i="8" s="1"/>
  <c r="AP103" i="8"/>
  <c r="T103" i="8" s="1"/>
  <c r="AN110" i="8"/>
  <c r="AN109" i="8"/>
  <c r="Q109" i="8" s="1"/>
  <c r="AN108" i="8"/>
  <c r="Q108" i="8" s="1"/>
  <c r="AN107" i="8"/>
  <c r="Q107" i="8" s="1"/>
  <c r="AN106" i="8"/>
  <c r="Q106" i="8" s="1"/>
  <c r="AN105" i="8"/>
  <c r="Q105" i="8" s="1"/>
  <c r="AN104" i="8"/>
  <c r="Q104" i="8" s="1"/>
  <c r="AN103" i="8"/>
  <c r="Q103" i="8" s="1"/>
  <c r="AN102" i="8"/>
  <c r="Q102" i="8" s="1"/>
  <c r="AJ108" i="8"/>
  <c r="M108" i="8" s="1"/>
  <c r="AJ104" i="8"/>
  <c r="M104" i="8" s="1"/>
  <c r="AG108" i="8"/>
  <c r="K108" i="8" s="1"/>
  <c r="AG104" i="8"/>
  <c r="K104" i="8" s="1"/>
  <c r="AF109" i="8"/>
  <c r="J109" i="8" s="1"/>
  <c r="AE107" i="8"/>
  <c r="H107" i="8" s="1"/>
  <c r="AE103" i="8"/>
  <c r="H103" i="8" s="1"/>
  <c r="AD108" i="8"/>
  <c r="G108" i="8" s="1"/>
  <c r="AD104" i="8"/>
  <c r="G104" i="8" s="1"/>
  <c r="AC109" i="8"/>
  <c r="F109" i="8" s="1"/>
  <c r="AC105" i="8"/>
  <c r="F105" i="8" s="1"/>
  <c r="AB109" i="8"/>
  <c r="E109" i="8" s="1"/>
  <c r="AB105" i="8"/>
  <c r="E105" i="8" s="1"/>
  <c r="AA108" i="8"/>
  <c r="D108" i="8" s="1"/>
  <c r="AA104" i="8"/>
  <c r="D104" i="8" s="1"/>
  <c r="AP108" i="8"/>
  <c r="T108" i="8" s="1"/>
  <c r="AP104" i="8"/>
  <c r="T104" i="8" s="1"/>
  <c r="AO109" i="8"/>
  <c r="S109" i="8" s="1"/>
  <c r="AK110" i="8"/>
  <c r="AK109" i="8"/>
  <c r="N109" i="8" s="1"/>
  <c r="AK108" i="8"/>
  <c r="N108" i="8" s="1"/>
  <c r="AK107" i="8"/>
  <c r="N107" i="8" s="1"/>
  <c r="AK106" i="8"/>
  <c r="N106" i="8" s="1"/>
  <c r="AK105" i="8"/>
  <c r="N105" i="8" s="1"/>
  <c r="AK104" i="8"/>
  <c r="N104" i="8" s="1"/>
  <c r="AK103" i="8"/>
  <c r="N103" i="8" s="1"/>
  <c r="AK102" i="8"/>
  <c r="N102" i="8" s="1"/>
  <c r="AJ105" i="8"/>
  <c r="M105" i="8" s="1"/>
  <c r="AJ101" i="8"/>
  <c r="M101" i="8" s="1"/>
  <c r="AG105" i="8"/>
  <c r="K105" i="8" s="1"/>
  <c r="AF110" i="8"/>
  <c r="J110" i="8" s="1"/>
  <c r="AE108" i="8"/>
  <c r="H108" i="8" s="1"/>
  <c r="AE104" i="8"/>
  <c r="H104" i="8" s="1"/>
  <c r="AD109" i="8"/>
  <c r="G109" i="8" s="1"/>
  <c r="AD105" i="8"/>
  <c r="G105" i="8" s="1"/>
  <c r="AC110" i="8"/>
  <c r="F110" i="8" s="1"/>
  <c r="AC106" i="8"/>
  <c r="F106" i="8" s="1"/>
  <c r="AC102" i="8"/>
  <c r="F102" i="8" s="1"/>
  <c r="AB106" i="8"/>
  <c r="E106" i="8" s="1"/>
  <c r="AB102" i="8"/>
  <c r="E102" i="8" s="1"/>
  <c r="AA105" i="8"/>
  <c r="D105" i="8" s="1"/>
  <c r="DE46" i="7"/>
  <c r="DF46" i="7" s="1"/>
  <c r="DT56" i="7"/>
  <c r="DT58" i="7"/>
  <c r="IN71" i="7"/>
  <c r="Y131" i="7"/>
  <c r="Y133" i="7"/>
  <c r="Y135" i="7"/>
  <c r="Y137" i="7"/>
  <c r="Y139" i="7"/>
  <c r="BA123" i="7"/>
  <c r="AB43" i="7" s="1"/>
  <c r="BD23" i="7" s="1"/>
  <c r="GO47" i="7"/>
  <c r="BC125" i="7"/>
  <c r="AI45" i="7" s="1"/>
  <c r="BI25" i="7" s="1"/>
  <c r="IN130" i="7"/>
  <c r="AM72" i="7" s="1"/>
  <c r="IN128" i="7"/>
  <c r="AM70" i="7" s="1"/>
  <c r="IN126" i="7"/>
  <c r="AM68" i="7" s="1"/>
  <c r="IN131" i="7"/>
  <c r="AL73" i="7" s="1"/>
  <c r="IN129" i="7"/>
  <c r="AM71" i="7" s="1"/>
  <c r="IN127" i="7"/>
  <c r="AM69" i="7" s="1"/>
  <c r="IN124" i="7"/>
  <c r="AL66" i="7" s="1"/>
  <c r="IN123" i="7"/>
  <c r="AM60" i="7" s="1"/>
  <c r="IN121" i="7"/>
  <c r="AM58" i="7" s="1"/>
  <c r="AM54" i="7"/>
  <c r="IN122" i="7"/>
  <c r="AM59" i="7" s="1"/>
  <c r="IN120" i="7"/>
  <c r="AM57" i="7" s="1"/>
  <c r="AB45" i="7"/>
  <c r="BD25" i="7" s="1"/>
  <c r="AB44" i="7"/>
  <c r="BD24" i="7" s="1"/>
  <c r="AI43" i="7"/>
  <c r="BI23" i="7" s="1"/>
  <c r="AI46" i="7"/>
  <c r="BI26" i="7" s="1"/>
  <c r="EO10" i="7"/>
  <c r="EP9" i="7"/>
  <c r="DU62" i="7"/>
  <c r="ED10" i="7"/>
  <c r="DU64" i="7"/>
  <c r="DV64" i="7" s="1"/>
  <c r="ED12" i="7"/>
  <c r="DU56" i="7"/>
  <c r="ED4" i="7"/>
  <c r="DU61" i="7"/>
  <c r="ED9" i="7"/>
  <c r="DU57" i="7"/>
  <c r="ED5" i="7"/>
  <c r="DT57" i="7"/>
  <c r="EC5" i="7"/>
  <c r="GO44" i="7"/>
  <c r="EC22" i="7"/>
  <c r="GO46" i="7"/>
  <c r="EC24" i="7"/>
  <c r="DU58" i="7"/>
  <c r="ED6" i="7"/>
  <c r="DU63" i="7"/>
  <c r="DV63" i="7" s="1"/>
  <c r="ED11" i="7"/>
  <c r="DW56" i="7"/>
  <c r="DW57" i="7" s="1"/>
  <c r="GO42" i="7"/>
  <c r="EC20" i="7"/>
  <c r="DU60" i="7"/>
  <c r="ED8" i="7"/>
  <c r="DU55" i="7"/>
  <c r="ED3" i="7"/>
  <c r="DT55" i="7"/>
  <c r="EC3" i="7"/>
  <c r="DU59" i="7"/>
  <c r="ED7" i="7"/>
  <c r="DT59" i="7"/>
  <c r="EC7" i="7"/>
  <c r="DU65" i="7"/>
  <c r="ED13" i="7"/>
  <c r="DX36" i="7"/>
  <c r="DV36" i="7"/>
  <c r="EC13" i="7"/>
  <c r="BI24" i="7"/>
  <c r="GQ36" i="7"/>
  <c r="GR36" i="7" s="1"/>
  <c r="BL15" i="7"/>
  <c r="CE42" i="7"/>
  <c r="CG36" i="7"/>
  <c r="DX37" i="7"/>
  <c r="DY37" i="7" s="1"/>
  <c r="DW39" i="7"/>
  <c r="DX39" i="7" s="1"/>
  <c r="DX38" i="7"/>
  <c r="DY38" i="7" s="1"/>
  <c r="DZ38" i="7" s="1"/>
  <c r="AB141" i="7"/>
  <c r="BA126" i="7"/>
  <c r="DL46" i="7"/>
  <c r="DM46" i="7" s="1"/>
  <c r="AG129" i="7"/>
  <c r="AF130" i="7" s="1"/>
  <c r="JS50" i="7"/>
  <c r="JT50" i="7" s="1"/>
  <c r="IO50" i="7" s="1"/>
  <c r="JV34" i="7"/>
  <c r="DZ63" i="7"/>
  <c r="EF63" i="7"/>
  <c r="EG63" i="7" s="1"/>
  <c r="DT65" i="7"/>
  <c r="DV47" i="7"/>
  <c r="IH44" i="7"/>
  <c r="II44" i="7"/>
  <c r="DV43" i="7"/>
  <c r="DT61" i="7"/>
  <c r="DT63" i="7"/>
  <c r="DV45" i="7"/>
  <c r="CE36" i="7"/>
  <c r="GN11" i="7"/>
  <c r="GO10" i="7"/>
  <c r="DU11" i="7"/>
  <c r="DV10" i="7"/>
  <c r="CD19" i="7"/>
  <c r="CE18" i="7"/>
  <c r="CK47" i="7"/>
  <c r="CL47" i="7"/>
  <c r="CG37" i="7"/>
  <c r="CF38" i="7"/>
  <c r="CE40" i="7"/>
  <c r="CE38" i="7"/>
  <c r="GP38" i="7"/>
  <c r="GQ37" i="7"/>
  <c r="CY47" i="7"/>
  <c r="CX46" i="7"/>
  <c r="CY46" i="7" s="1"/>
  <c r="CR47" i="7"/>
  <c r="CQ46" i="7"/>
  <c r="IH45" i="7"/>
  <c r="II45" i="7"/>
  <c r="DT62" i="7"/>
  <c r="DV44" i="7"/>
  <c r="DT64" i="7"/>
  <c r="DV46" i="7"/>
  <c r="DZ64" i="7"/>
  <c r="EF64" i="7"/>
  <c r="EG64" i="7" s="1"/>
  <c r="GO36" i="7"/>
  <c r="GO40" i="7"/>
  <c r="GO38" i="7"/>
  <c r="DT60" i="7"/>
  <c r="DV42" i="7"/>
  <c r="GO41" i="7"/>
  <c r="CE37" i="7"/>
  <c r="CE39" i="7"/>
  <c r="GN48" i="7"/>
  <c r="GO39" i="7"/>
  <c r="CE41" i="7"/>
  <c r="CD48" i="7"/>
  <c r="GO37" i="7"/>
  <c r="DU54" i="7"/>
  <c r="DU48" i="7"/>
  <c r="DT54" i="7"/>
  <c r="DV41" i="7"/>
  <c r="DV40" i="7"/>
  <c r="DV39" i="7"/>
  <c r="DV37" i="7"/>
  <c r="DV38" i="7"/>
  <c r="JI62" i="7"/>
  <c r="JJ32" i="7"/>
  <c r="JJ60" i="7" s="1"/>
  <c r="JS60" i="7" s="1"/>
  <c r="JT60" i="7" s="1"/>
  <c r="IO60" i="7" s="1"/>
  <c r="IP60" i="7" s="1"/>
  <c r="AN36" i="7" s="1"/>
  <c r="JI52" i="7"/>
  <c r="JR34" i="7" s="1"/>
  <c r="JI63" i="7"/>
  <c r="JS38" i="7"/>
  <c r="JT38" i="7" s="1"/>
  <c r="IO38" i="7" s="1"/>
  <c r="IP38" i="7" s="1"/>
  <c r="Z38" i="7" s="1"/>
  <c r="BB18" i="7" s="1"/>
  <c r="BP50" i="7" l="1"/>
  <c r="U50" i="7" s="1"/>
  <c r="L102" i="7"/>
  <c r="R100" i="7"/>
  <c r="AM61" i="7" s="1"/>
  <c r="AY119" i="7"/>
  <c r="U39" i="7" s="1"/>
  <c r="AY19" i="7" s="1"/>
  <c r="X123" i="7"/>
  <c r="X124" i="7" s="1"/>
  <c r="X125" i="7" s="1"/>
  <c r="X126" i="7" s="1"/>
  <c r="AE115" i="7" s="1"/>
  <c r="W122" i="7"/>
  <c r="W136" i="7"/>
  <c r="AY121" i="7"/>
  <c r="U41" i="7" s="1"/>
  <c r="AY21" i="7" s="1"/>
  <c r="JO34" i="7"/>
  <c r="AM142" i="7"/>
  <c r="AM143" i="7" s="1"/>
  <c r="AM144" i="7" s="1"/>
  <c r="BS37" i="7" s="1"/>
  <c r="DE45" i="7"/>
  <c r="DF45" i="7" s="1"/>
  <c r="DV62" i="7"/>
  <c r="Y142" i="7"/>
  <c r="Y143" i="7" s="1"/>
  <c r="Y144" i="7" s="1"/>
  <c r="ED38" i="7"/>
  <c r="DW40" i="7"/>
  <c r="DX40" i="7" s="1"/>
  <c r="AB46" i="7"/>
  <c r="BD26" i="7" s="1"/>
  <c r="EF22" i="7"/>
  <c r="EG22" i="7" s="1"/>
  <c r="EF5" i="7"/>
  <c r="EF9" i="7"/>
  <c r="EF13" i="7"/>
  <c r="EF17" i="7"/>
  <c r="EF21" i="7"/>
  <c r="EF25" i="7"/>
  <c r="EF4" i="7"/>
  <c r="EF8" i="7"/>
  <c r="EF12" i="7"/>
  <c r="EF16" i="7"/>
  <c r="EF20" i="7"/>
  <c r="EF24" i="7"/>
  <c r="EF3" i="7"/>
  <c r="EF7" i="7"/>
  <c r="EF11" i="7"/>
  <c r="EF15" i="7"/>
  <c r="EF19" i="7"/>
  <c r="EF23" i="7"/>
  <c r="EF2" i="7"/>
  <c r="EF6" i="7"/>
  <c r="EF10" i="7"/>
  <c r="EF14" i="7"/>
  <c r="EF18" i="7"/>
  <c r="EO11" i="7"/>
  <c r="EP10" i="7"/>
  <c r="DY36" i="7"/>
  <c r="DZ36" i="7" s="1"/>
  <c r="BL16" i="7"/>
  <c r="DL45" i="7"/>
  <c r="DM45" i="7" s="1"/>
  <c r="DV65" i="7"/>
  <c r="AF141" i="7"/>
  <c r="AF139" i="7"/>
  <c r="AF137" i="7"/>
  <c r="AF135" i="7"/>
  <c r="AF133" i="7"/>
  <c r="AF131" i="7"/>
  <c r="IN72" i="7"/>
  <c r="AF138" i="7"/>
  <c r="AF134" i="7"/>
  <c r="AF140" i="7"/>
  <c r="AF136" i="7"/>
  <c r="AF132" i="7"/>
  <c r="IP50" i="7"/>
  <c r="JC34" i="7"/>
  <c r="EA63" i="7"/>
  <c r="EC63" i="7"/>
  <c r="DB47" i="7"/>
  <c r="DG47" i="7" s="1"/>
  <c r="CN47" i="7"/>
  <c r="CS47" i="7" s="1"/>
  <c r="DI47" i="7"/>
  <c r="DN47" i="7" s="1"/>
  <c r="CU47" i="7"/>
  <c r="GN12" i="7"/>
  <c r="GO11" i="7"/>
  <c r="DU12" i="7"/>
  <c r="DV11" i="7"/>
  <c r="CD20" i="7"/>
  <c r="CE19" i="7"/>
  <c r="CX45" i="7"/>
  <c r="CY45" i="7" s="1"/>
  <c r="GW36" i="7"/>
  <c r="GS36" i="7"/>
  <c r="GV36" i="7" s="1"/>
  <c r="EA64" i="7"/>
  <c r="EC64" i="7"/>
  <c r="GQ38" i="7"/>
  <c r="GP39" i="7"/>
  <c r="CH37" i="7"/>
  <c r="CI37" i="7" s="1"/>
  <c r="CL37" i="7" s="1"/>
  <c r="CM37" i="7"/>
  <c r="CZ47" i="7"/>
  <c r="CK46" i="7"/>
  <c r="CR46" i="7"/>
  <c r="CQ45" i="7"/>
  <c r="GR37" i="7"/>
  <c r="GS37" i="7" s="1"/>
  <c r="GV37" i="7" s="1"/>
  <c r="GW37" i="7"/>
  <c r="CM36" i="7"/>
  <c r="CH36" i="7"/>
  <c r="CI36" i="7" s="1"/>
  <c r="CL36" i="7" s="1"/>
  <c r="CG38" i="7"/>
  <c r="CF39" i="7"/>
  <c r="DY39" i="7"/>
  <c r="DZ39" i="7" s="1"/>
  <c r="ED39" i="7"/>
  <c r="JK32" i="7"/>
  <c r="JK61" i="7" s="1"/>
  <c r="JS61" i="7" s="1"/>
  <c r="JT61" i="7" s="1"/>
  <c r="IO61" i="7" s="1"/>
  <c r="IP61" i="7" s="1"/>
  <c r="AN37" i="7" s="1"/>
  <c r="JJ39" i="7"/>
  <c r="CA102" i="7"/>
  <c r="CA101" i="7"/>
  <c r="AL86" i="7" s="1"/>
  <c r="BP55" i="7"/>
  <c r="JS52" i="7"/>
  <c r="JT52" i="7" s="1"/>
  <c r="IO52" i="7" s="1"/>
  <c r="IP52" i="7" s="1"/>
  <c r="JP34" i="7"/>
  <c r="ED37" i="7"/>
  <c r="DZ37" i="7"/>
  <c r="ED36" i="7"/>
  <c r="DW58" i="7"/>
  <c r="EC38" i="7"/>
  <c r="CM48" i="7" l="1"/>
  <c r="AH109" i="8"/>
  <c r="AH107" i="8"/>
  <c r="AG40" i="7"/>
  <c r="BG20" i="7" s="1"/>
  <c r="DE44" i="7"/>
  <c r="DF44" i="7" s="1"/>
  <c r="AE116" i="7"/>
  <c r="AB115" i="7"/>
  <c r="W137" i="7"/>
  <c r="AY122" i="7"/>
  <c r="U42" i="7" s="1"/>
  <c r="AY22" i="7" s="1"/>
  <c r="DW41" i="7"/>
  <c r="DX41" i="7" s="1"/>
  <c r="GW48" i="7"/>
  <c r="HH57" i="7" s="1"/>
  <c r="BQ37" i="7"/>
  <c r="Y48" i="7"/>
  <c r="IR71" i="7" s="1"/>
  <c r="IZ71" i="7" s="1"/>
  <c r="AQ107" i="8"/>
  <c r="AQ109" i="8"/>
  <c r="DL44" i="7"/>
  <c r="DM44" i="7" s="1"/>
  <c r="IV71" i="7"/>
  <c r="EJ22" i="7"/>
  <c r="EM22" i="7" s="1"/>
  <c r="EI22" i="7"/>
  <c r="EG14" i="7"/>
  <c r="EJ14" i="7"/>
  <c r="EI14" i="7"/>
  <c r="EG6" i="7"/>
  <c r="EJ6" i="7"/>
  <c r="EI6" i="7"/>
  <c r="EG23" i="7"/>
  <c r="EJ23" i="7"/>
  <c r="EI23" i="7"/>
  <c r="EG15" i="7"/>
  <c r="EJ15" i="7"/>
  <c r="EI15" i="7"/>
  <c r="EG7" i="7"/>
  <c r="EJ7" i="7"/>
  <c r="EI7" i="7"/>
  <c r="EG24" i="7"/>
  <c r="EJ24" i="7"/>
  <c r="EI24" i="7"/>
  <c r="EG16" i="7"/>
  <c r="EJ16" i="7"/>
  <c r="EI16" i="7"/>
  <c r="EG8" i="7"/>
  <c r="EJ8" i="7"/>
  <c r="EI8" i="7"/>
  <c r="EG25" i="7"/>
  <c r="EJ25" i="7"/>
  <c r="EI25" i="7"/>
  <c r="EG17" i="7"/>
  <c r="EJ17" i="7"/>
  <c r="EI17" i="7"/>
  <c r="EG9" i="7"/>
  <c r="EJ9" i="7"/>
  <c r="EI9" i="7"/>
  <c r="EG18" i="7"/>
  <c r="EJ18" i="7"/>
  <c r="EI18" i="7"/>
  <c r="EG10" i="7"/>
  <c r="EJ10" i="7"/>
  <c r="EI10" i="7"/>
  <c r="EG2" i="7"/>
  <c r="EH2" i="7" s="1"/>
  <c r="EJ2" i="7"/>
  <c r="EI2" i="7"/>
  <c r="EG19" i="7"/>
  <c r="EJ19" i="7"/>
  <c r="EI19" i="7"/>
  <c r="EG11" i="7"/>
  <c r="EJ11" i="7"/>
  <c r="EI11" i="7"/>
  <c r="EG3" i="7"/>
  <c r="EJ3" i="7"/>
  <c r="EI3" i="7"/>
  <c r="EG20" i="7"/>
  <c r="EJ20" i="7"/>
  <c r="EI20" i="7"/>
  <c r="EG12" i="7"/>
  <c r="EJ12" i="7"/>
  <c r="EI12" i="7"/>
  <c r="EG4" i="7"/>
  <c r="EJ4" i="7"/>
  <c r="EI4" i="7"/>
  <c r="EG21" i="7"/>
  <c r="EJ21" i="7"/>
  <c r="EI21" i="7"/>
  <c r="EG13" i="7"/>
  <c r="EJ13" i="7"/>
  <c r="EI13" i="7"/>
  <c r="EG5" i="7"/>
  <c r="EJ5" i="7"/>
  <c r="EI5" i="7"/>
  <c r="EO12" i="7"/>
  <c r="EP11" i="7"/>
  <c r="EC36" i="7"/>
  <c r="AM48" i="7"/>
  <c r="IR73" i="7" s="1"/>
  <c r="CM60" i="7"/>
  <c r="BL17" i="7"/>
  <c r="AF142" i="7"/>
  <c r="ED48" i="7" s="1"/>
  <c r="AG38" i="7"/>
  <c r="BG18" i="7" s="1"/>
  <c r="JD34" i="7"/>
  <c r="DI46" i="7"/>
  <c r="DN46" i="7" s="1"/>
  <c r="CU46" i="7"/>
  <c r="DB46" i="7"/>
  <c r="DG46" i="7" s="1"/>
  <c r="CN46" i="7"/>
  <c r="CS46" i="7" s="1"/>
  <c r="GN13" i="7"/>
  <c r="GO12" i="7"/>
  <c r="DU13" i="7"/>
  <c r="DV12" i="7"/>
  <c r="CX44" i="7"/>
  <c r="CY44" i="7" s="1"/>
  <c r="CD21" i="7"/>
  <c r="CE20" i="7"/>
  <c r="CF40" i="7"/>
  <c r="CG39" i="7"/>
  <c r="CQ44" i="7"/>
  <c r="CR45" i="7"/>
  <c r="GP40" i="7"/>
  <c r="GQ39" i="7"/>
  <c r="CH38" i="7"/>
  <c r="CI38" i="7" s="1"/>
  <c r="CL38" i="7" s="1"/>
  <c r="CM38" i="7"/>
  <c r="CZ46" i="7"/>
  <c r="CK45" i="7"/>
  <c r="GW38" i="7"/>
  <c r="GR38" i="7"/>
  <c r="GS38" i="7" s="1"/>
  <c r="GV38" i="7" s="1"/>
  <c r="EC37" i="7"/>
  <c r="JQ34" i="7"/>
  <c r="JS39" i="7"/>
  <c r="JT39" i="7" s="1"/>
  <c r="IO39" i="7" s="1"/>
  <c r="IP39" i="7" s="1"/>
  <c r="Z39" i="7" s="1"/>
  <c r="BB19" i="7" s="1"/>
  <c r="EC39" i="7"/>
  <c r="DW59" i="7"/>
  <c r="DY40" i="7"/>
  <c r="DZ40" i="7" s="1"/>
  <c r="ED40" i="7"/>
  <c r="JK64" i="7"/>
  <c r="JL32" i="7"/>
  <c r="JL42" i="7" s="1"/>
  <c r="JS42" i="7" s="1"/>
  <c r="JT42" i="7" s="1"/>
  <c r="IO42" i="7" s="1"/>
  <c r="IP42" i="7" s="1"/>
  <c r="Z42" i="7" s="1"/>
  <c r="BB22" i="7" s="1"/>
  <c r="AH106" i="8" l="1"/>
  <c r="AH105" i="8" s="1"/>
  <c r="AI107" i="8"/>
  <c r="AI109" i="8" s="1"/>
  <c r="L109" i="8" s="1"/>
  <c r="JQ71" i="7"/>
  <c r="JA71" i="7"/>
  <c r="JI71" i="7"/>
  <c r="IS71" i="7"/>
  <c r="JM71" i="7"/>
  <c r="JE71" i="7"/>
  <c r="IW71" i="7"/>
  <c r="KA71" i="7"/>
  <c r="AE117" i="7"/>
  <c r="AB116" i="7"/>
  <c r="BA115" i="7"/>
  <c r="AB35" i="7" s="1"/>
  <c r="BD15" i="7" s="1"/>
  <c r="AB130" i="7"/>
  <c r="DW42" i="7"/>
  <c r="DX42" i="7" s="1"/>
  <c r="JW71" i="7"/>
  <c r="JL71" i="7"/>
  <c r="JD71" i="7"/>
  <c r="JP71" i="7"/>
  <c r="JH71" i="7"/>
  <c r="BT38" i="7"/>
  <c r="CQ56" i="7"/>
  <c r="CT56" i="7" s="1"/>
  <c r="CQ58" i="7"/>
  <c r="CT58" i="7" s="1"/>
  <c r="JX71" i="7"/>
  <c r="JV71" i="7"/>
  <c r="JK71" i="7"/>
  <c r="JC71" i="7"/>
  <c r="IU71" i="7"/>
  <c r="JY71" i="7"/>
  <c r="JN71" i="7"/>
  <c r="JF71" i="7"/>
  <c r="IX71" i="7"/>
  <c r="JZ71" i="7"/>
  <c r="JO71" i="7"/>
  <c r="JG71" i="7"/>
  <c r="IY71" i="7"/>
  <c r="IQ71" i="7"/>
  <c r="JR71" i="7"/>
  <c r="JJ71" i="7"/>
  <c r="JB71" i="7"/>
  <c r="IT71" i="7"/>
  <c r="AR107" i="8"/>
  <c r="AR109" i="8" s="1"/>
  <c r="U109" i="8" s="1"/>
  <c r="AQ108" i="8"/>
  <c r="AR108" i="8" s="1"/>
  <c r="AQ110" i="8"/>
  <c r="HG60" i="7"/>
  <c r="HG61" i="7" s="1"/>
  <c r="EK22" i="7"/>
  <c r="EK13" i="7"/>
  <c r="EK4" i="7"/>
  <c r="EM20" i="7"/>
  <c r="EK20" i="7"/>
  <c r="EK11" i="7"/>
  <c r="EK2" i="7"/>
  <c r="EM18" i="7"/>
  <c r="EK18" i="7"/>
  <c r="EK17" i="7"/>
  <c r="EK8" i="7"/>
  <c r="EM24" i="7"/>
  <c r="EK24" i="7"/>
  <c r="EK15" i="7"/>
  <c r="EK6" i="7"/>
  <c r="EK5" i="7"/>
  <c r="EM21" i="7"/>
  <c r="EK21" i="7"/>
  <c r="EK12" i="7"/>
  <c r="EK3" i="7"/>
  <c r="EM19" i="7"/>
  <c r="EK19" i="7"/>
  <c r="EL2" i="7"/>
  <c r="EM2" i="7" s="1"/>
  <c r="EH3" i="7"/>
  <c r="EK10" i="7"/>
  <c r="EK9" i="7"/>
  <c r="EM25" i="7"/>
  <c r="EK25" i="7"/>
  <c r="EK16" i="7"/>
  <c r="EK7" i="7"/>
  <c r="EM23" i="7"/>
  <c r="EK23" i="7"/>
  <c r="EK14" i="7"/>
  <c r="EO13" i="7"/>
  <c r="EP12" i="7"/>
  <c r="HH58" i="7"/>
  <c r="JX73" i="7"/>
  <c r="JQ73" i="7"/>
  <c r="JM73" i="7"/>
  <c r="JI73" i="7"/>
  <c r="JE73" i="7"/>
  <c r="JA73" i="7"/>
  <c r="IW73" i="7"/>
  <c r="IS73" i="7"/>
  <c r="KA73" i="7"/>
  <c r="JW73" i="7"/>
  <c r="JP73" i="7"/>
  <c r="JL73" i="7"/>
  <c r="JH73" i="7"/>
  <c r="JD73" i="7"/>
  <c r="IZ73" i="7"/>
  <c r="IV73" i="7"/>
  <c r="JZ73" i="7"/>
  <c r="JV73" i="7"/>
  <c r="JO73" i="7"/>
  <c r="JK73" i="7"/>
  <c r="JG73" i="7"/>
  <c r="JC73" i="7"/>
  <c r="IY73" i="7"/>
  <c r="IU73" i="7"/>
  <c r="IQ73" i="7"/>
  <c r="JY73" i="7"/>
  <c r="JR73" i="7"/>
  <c r="JN73" i="7"/>
  <c r="JJ73" i="7"/>
  <c r="JF73" i="7"/>
  <c r="JB73" i="7"/>
  <c r="IX73" i="7"/>
  <c r="IT73" i="7"/>
  <c r="CM64" i="7"/>
  <c r="CO88" i="7"/>
  <c r="CM59" i="7"/>
  <c r="CM58" i="7"/>
  <c r="CM95" i="7"/>
  <c r="CM61" i="7"/>
  <c r="AF143" i="7"/>
  <c r="AF144" i="7" s="1"/>
  <c r="AF48" i="7" s="1"/>
  <c r="IR72" i="7" s="1"/>
  <c r="JL62" i="7"/>
  <c r="JS62" i="7" s="1"/>
  <c r="JT62" i="7" s="1"/>
  <c r="IO62" i="7" s="1"/>
  <c r="IP62" i="7" s="1"/>
  <c r="AN38" i="7" s="1"/>
  <c r="JL63" i="7"/>
  <c r="JS63" i="7" s="1"/>
  <c r="JT63" i="7" s="1"/>
  <c r="IO63" i="7" s="1"/>
  <c r="IP63" i="7" s="1"/>
  <c r="AN39" i="7" s="1"/>
  <c r="DB45" i="7"/>
  <c r="DG45" i="7" s="1"/>
  <c r="CN45" i="7"/>
  <c r="CS45" i="7" s="1"/>
  <c r="DI45" i="7"/>
  <c r="DN45" i="7" s="1"/>
  <c r="CU45" i="7"/>
  <c r="CZ45" i="7" s="1"/>
  <c r="GN14" i="7"/>
  <c r="GO13" i="7"/>
  <c r="DU14" i="7"/>
  <c r="DV13" i="7"/>
  <c r="CD22" i="7"/>
  <c r="CE21" i="7"/>
  <c r="GP41" i="7"/>
  <c r="GQ40" i="7"/>
  <c r="CR44" i="7"/>
  <c r="CF41" i="7"/>
  <c r="CG40" i="7"/>
  <c r="CK44" i="7"/>
  <c r="GR39" i="7"/>
  <c r="GS39" i="7" s="1"/>
  <c r="GV39" i="7" s="1"/>
  <c r="GW39" i="7"/>
  <c r="CH39" i="7"/>
  <c r="CI39" i="7" s="1"/>
  <c r="CL39" i="7" s="1"/>
  <c r="CM39" i="7"/>
  <c r="JM32" i="7"/>
  <c r="JN32" i="7" s="1"/>
  <c r="JN40" i="7" s="1"/>
  <c r="JL40" i="7"/>
  <c r="EC40" i="7"/>
  <c r="DW60" i="7"/>
  <c r="DY41" i="7"/>
  <c r="DZ41" i="7" s="1"/>
  <c r="ED41" i="7"/>
  <c r="JS71" i="7" l="1"/>
  <c r="JT71" i="7" s="1"/>
  <c r="IO71" i="7" s="1"/>
  <c r="Z48" i="7" s="1"/>
  <c r="AE118" i="7"/>
  <c r="AB117" i="7"/>
  <c r="AB131" i="7"/>
  <c r="BA116" i="7"/>
  <c r="AB36" i="7" s="1"/>
  <c r="BD16" i="7" s="1"/>
  <c r="DW43" i="7"/>
  <c r="DX43" i="7" s="1"/>
  <c r="KB71" i="7"/>
  <c r="KC71" i="7" s="1"/>
  <c r="AR110" i="8"/>
  <c r="U110" i="8" s="1"/>
  <c r="AQ106" i="8"/>
  <c r="AH104" i="8" s="1"/>
  <c r="Y104" i="8" s="1"/>
  <c r="AA117" i="8" s="1"/>
  <c r="D117" i="8" s="1"/>
  <c r="CR95" i="7"/>
  <c r="CW95" i="7" s="1"/>
  <c r="CR58" i="7"/>
  <c r="CS88" i="7"/>
  <c r="CR61" i="7"/>
  <c r="CR59" i="7"/>
  <c r="EL3" i="7"/>
  <c r="EM3" i="7" s="1"/>
  <c r="EH4" i="7"/>
  <c r="EK26" i="7"/>
  <c r="EP13" i="7"/>
  <c r="EO14" i="7"/>
  <c r="EP14" i="7" s="1"/>
  <c r="CM65" i="7"/>
  <c r="CR64" i="7"/>
  <c r="KB73" i="7"/>
  <c r="KC73" i="7" s="1"/>
  <c r="JS73" i="7"/>
  <c r="JT73" i="7" s="1"/>
  <c r="IO73" i="7" s="1"/>
  <c r="AN48" i="7" s="1"/>
  <c r="BL18" i="7"/>
  <c r="BL19" i="7"/>
  <c r="BR37" i="7"/>
  <c r="AM145" i="7"/>
  <c r="AM146" i="7" s="1"/>
  <c r="AM147" i="7" s="1"/>
  <c r="IR74" i="7" s="1"/>
  <c r="KA72" i="7"/>
  <c r="JW72" i="7"/>
  <c r="JP72" i="7"/>
  <c r="JL72" i="7"/>
  <c r="JH72" i="7"/>
  <c r="JD72" i="7"/>
  <c r="IZ72" i="7"/>
  <c r="IV72" i="7"/>
  <c r="JZ72" i="7"/>
  <c r="JV72" i="7"/>
  <c r="JO72" i="7"/>
  <c r="JK72" i="7"/>
  <c r="JG72" i="7"/>
  <c r="JC72" i="7"/>
  <c r="IY72" i="7"/>
  <c r="IU72" i="7"/>
  <c r="IQ72" i="7"/>
  <c r="JY72" i="7"/>
  <c r="JR72" i="7"/>
  <c r="JJ72" i="7"/>
  <c r="JB72" i="7"/>
  <c r="IX72" i="7"/>
  <c r="JX72" i="7"/>
  <c r="JI72" i="7"/>
  <c r="JA72" i="7"/>
  <c r="IW72" i="7"/>
  <c r="JN72" i="7"/>
  <c r="JF72" i="7"/>
  <c r="IT72" i="7"/>
  <c r="JQ72" i="7"/>
  <c r="JM72" i="7"/>
  <c r="JE72" i="7"/>
  <c r="IS72" i="7"/>
  <c r="JO32" i="7"/>
  <c r="JP32" i="7" s="1"/>
  <c r="JQ32" i="7" s="1"/>
  <c r="JR32" i="7" s="1"/>
  <c r="JN64" i="7"/>
  <c r="JS64" i="7" s="1"/>
  <c r="JT64" i="7" s="1"/>
  <c r="IO64" i="7" s="1"/>
  <c r="IP64" i="7" s="1"/>
  <c r="AN40" i="7" s="1"/>
  <c r="JN35" i="7"/>
  <c r="DI44" i="7"/>
  <c r="DN44" i="7" s="1"/>
  <c r="CU44" i="7"/>
  <c r="CZ44" i="7" s="1"/>
  <c r="DB44" i="7"/>
  <c r="DG44" i="7" s="1"/>
  <c r="CN44" i="7"/>
  <c r="CS44" i="7" s="1"/>
  <c r="GN15" i="7"/>
  <c r="GO14" i="7"/>
  <c r="DU15" i="7"/>
  <c r="DV14" i="7"/>
  <c r="CE22" i="7"/>
  <c r="CD23" i="7"/>
  <c r="CG41" i="7"/>
  <c r="CF42" i="7"/>
  <c r="GQ41" i="7"/>
  <c r="GP42" i="7"/>
  <c r="CH40" i="7"/>
  <c r="CI40" i="7" s="1"/>
  <c r="CM40" i="7"/>
  <c r="GR40" i="7"/>
  <c r="GS40" i="7" s="1"/>
  <c r="GV40" i="7" s="1"/>
  <c r="GW40" i="7"/>
  <c r="EC41" i="7"/>
  <c r="ED42" i="7"/>
  <c r="DY42" i="7"/>
  <c r="DZ42" i="7" s="1"/>
  <c r="EC42" i="7" s="1"/>
  <c r="DW61" i="7"/>
  <c r="JS34" i="7"/>
  <c r="JS40" i="7"/>
  <c r="JT40" i="7" s="1"/>
  <c r="IO40" i="7" s="1"/>
  <c r="IP40" i="7" s="1"/>
  <c r="Z40" i="7" s="1"/>
  <c r="BB20" i="7" s="1"/>
  <c r="DW44" i="7"/>
  <c r="DX44" i="7" s="1"/>
  <c r="CO58" i="7" l="1"/>
  <c r="CS58" i="7" s="1"/>
  <c r="BQ51" i="7"/>
  <c r="CV58" i="7"/>
  <c r="CW58" i="7" s="1"/>
  <c r="BQ58" i="7" s="1"/>
  <c r="BR58" i="7" s="1"/>
  <c r="BP58" i="7" s="1"/>
  <c r="AE119" i="7"/>
  <c r="AB118" i="7"/>
  <c r="AB132" i="7"/>
  <c r="BA117" i="7"/>
  <c r="AB37" i="7" s="1"/>
  <c r="BD17" i="7" s="1"/>
  <c r="AP133" i="8"/>
  <c r="AM134" i="8"/>
  <c r="AG134" i="8"/>
  <c r="I134" i="8" s="1"/>
  <c r="AB127" i="8"/>
  <c r="Z130" i="8"/>
  <c r="Z112" i="8"/>
  <c r="AB135" i="8"/>
  <c r="AS133" i="8"/>
  <c r="AR133" i="8" s="1"/>
  <c r="T136" i="8" s="1"/>
  <c r="AS132" i="8"/>
  <c r="AR132" i="8" s="1"/>
  <c r="T135" i="8" s="1"/>
  <c r="AQ105" i="8"/>
  <c r="JR74" i="7"/>
  <c r="AM50" i="7"/>
  <c r="EH5" i="7"/>
  <c r="EL4" i="7"/>
  <c r="EM4" i="7" s="1"/>
  <c r="EK28" i="7"/>
  <c r="CO60" i="7"/>
  <c r="CO64" i="7"/>
  <c r="CO65" i="7" s="1"/>
  <c r="CO59" i="7"/>
  <c r="CS59" i="7" s="1"/>
  <c r="CM66" i="7"/>
  <c r="CR65" i="7"/>
  <c r="JY74" i="7"/>
  <c r="BL20" i="7"/>
  <c r="JP74" i="7"/>
  <c r="JO74" i="7"/>
  <c r="JI74" i="7"/>
  <c r="IY74" i="7"/>
  <c r="IZ74" i="7"/>
  <c r="IS74" i="7"/>
  <c r="IT74" i="7"/>
  <c r="IQ74" i="7"/>
  <c r="JG74" i="7"/>
  <c r="JZ74" i="7"/>
  <c r="JH74" i="7"/>
  <c r="KA74" i="7"/>
  <c r="JA74" i="7"/>
  <c r="JQ74" i="7"/>
  <c r="JB74" i="7"/>
  <c r="JS72" i="7"/>
  <c r="JT72" i="7" s="1"/>
  <c r="IO72" i="7" s="1"/>
  <c r="AG48" i="7" s="1"/>
  <c r="IU74" i="7"/>
  <c r="JC74" i="7"/>
  <c r="JK74" i="7"/>
  <c r="JV74" i="7"/>
  <c r="IV74" i="7"/>
  <c r="JD74" i="7"/>
  <c r="JL74" i="7"/>
  <c r="JW74" i="7"/>
  <c r="IW74" i="7"/>
  <c r="JE74" i="7"/>
  <c r="JM74" i="7"/>
  <c r="JX74" i="7"/>
  <c r="IX74" i="7"/>
  <c r="JJ74" i="7"/>
  <c r="JF74" i="7"/>
  <c r="JN74" i="7"/>
  <c r="KB72" i="7"/>
  <c r="KC72" i="7" s="1"/>
  <c r="JU34" i="7"/>
  <c r="JZ34" i="7" s="1"/>
  <c r="JS35" i="7"/>
  <c r="JT35" i="7" s="1"/>
  <c r="IO35" i="7" s="1"/>
  <c r="IP35" i="7" s="1"/>
  <c r="Z35" i="7" s="1"/>
  <c r="BB15" i="7" s="1"/>
  <c r="GN16" i="7"/>
  <c r="GO15" i="7"/>
  <c r="DU16" i="7"/>
  <c r="DV15" i="7"/>
  <c r="CD24" i="7"/>
  <c r="CE23" i="7"/>
  <c r="GW41" i="7"/>
  <c r="GR41" i="7"/>
  <c r="GS41" i="7" s="1"/>
  <c r="CM41" i="7"/>
  <c r="CH41" i="7"/>
  <c r="CI41" i="7" s="1"/>
  <c r="CL40" i="7"/>
  <c r="GP43" i="7"/>
  <c r="GQ42" i="7"/>
  <c r="CF43" i="7"/>
  <c r="CG42" i="7"/>
  <c r="ED43" i="7"/>
  <c r="DY43" i="7"/>
  <c r="DZ43" i="7" s="1"/>
  <c r="EC43" i="7" s="1"/>
  <c r="DW62" i="7"/>
  <c r="DW45" i="7"/>
  <c r="DX45" i="7" s="1"/>
  <c r="BR51" i="7" l="1"/>
  <c r="BP51" i="7"/>
  <c r="X50" i="7" s="1"/>
  <c r="AI57" i="7"/>
  <c r="H8" i="4" s="1"/>
  <c r="IK78" i="7"/>
  <c r="BQ95" i="7"/>
  <c r="BR95" i="7" s="1"/>
  <c r="BP95" i="7" s="1"/>
  <c r="AE120" i="7"/>
  <c r="AB119" i="7"/>
  <c r="BA118" i="7"/>
  <c r="AB38" i="7" s="1"/>
  <c r="BD18" i="7" s="1"/>
  <c r="AB133" i="7"/>
  <c r="AH103" i="8"/>
  <c r="AH102" i="8" s="1"/>
  <c r="K111" i="8" s="1"/>
  <c r="CS64" i="7"/>
  <c r="CW64" i="7" s="1"/>
  <c r="BQ64" i="7" s="1"/>
  <c r="BR64" i="7" s="1"/>
  <c r="BP64" i="7" s="1"/>
  <c r="EH6" i="7"/>
  <c r="EL5" i="7"/>
  <c r="EM5" i="7" s="1"/>
  <c r="CM67" i="7"/>
  <c r="CR66" i="7"/>
  <c r="KB74" i="7"/>
  <c r="KC74" i="7" s="1"/>
  <c r="JS74" i="7"/>
  <c r="JT74" i="7" s="1"/>
  <c r="IO74" i="7" s="1"/>
  <c r="IP74" i="7" s="1"/>
  <c r="AN50" i="7" s="1"/>
  <c r="CS65" i="7"/>
  <c r="CW65" i="7" s="1"/>
  <c r="BQ65" i="7" s="1"/>
  <c r="BR65" i="7" s="1"/>
  <c r="BP65" i="7" s="1"/>
  <c r="CO66" i="7"/>
  <c r="GN17" i="7"/>
  <c r="GO16" i="7"/>
  <c r="DU17" i="7"/>
  <c r="DV16" i="7"/>
  <c r="CD27" i="7"/>
  <c r="CE24" i="7"/>
  <c r="CM42" i="7"/>
  <c r="CH42" i="7"/>
  <c r="CI42" i="7" s="1"/>
  <c r="GW42" i="7"/>
  <c r="GR42" i="7"/>
  <c r="GS42" i="7" s="1"/>
  <c r="CF44" i="7"/>
  <c r="CG43" i="7"/>
  <c r="GP44" i="7"/>
  <c r="GQ43" i="7"/>
  <c r="CL41" i="7"/>
  <c r="GV41" i="7"/>
  <c r="DY44" i="7"/>
  <c r="DZ44" i="7" s="1"/>
  <c r="EC44" i="7" s="1"/>
  <c r="ED44" i="7"/>
  <c r="DW46" i="7"/>
  <c r="DW63" i="7"/>
  <c r="H9" i="4" l="1"/>
  <c r="IR78" i="7"/>
  <c r="JD78" i="7" s="1"/>
  <c r="AI65" i="7"/>
  <c r="H28" i="4" s="1"/>
  <c r="IK85" i="7"/>
  <c r="AI64" i="7"/>
  <c r="H20" i="4" s="1"/>
  <c r="IK84" i="7"/>
  <c r="AI96" i="7"/>
  <c r="H125" i="4" s="1"/>
  <c r="IK115" i="7"/>
  <c r="AE121" i="7"/>
  <c r="AB120" i="7"/>
  <c r="BA119" i="7"/>
  <c r="AB39" i="7" s="1"/>
  <c r="BD19" i="7" s="1"/>
  <c r="AB134" i="7"/>
  <c r="C130" i="8"/>
  <c r="AJ128" i="8"/>
  <c r="L128" i="8" s="1"/>
  <c r="R133" i="8"/>
  <c r="AO123" i="8"/>
  <c r="Q127" i="8" s="1"/>
  <c r="AO124" i="8"/>
  <c r="Q128" i="8" s="1"/>
  <c r="AP134" i="8"/>
  <c r="R134" i="8" s="1"/>
  <c r="AK136" i="8"/>
  <c r="M136" i="8" s="1"/>
  <c r="AG136" i="8"/>
  <c r="I136" i="8" s="1"/>
  <c r="AE136" i="8"/>
  <c r="G136" i="8" s="1"/>
  <c r="AE134" i="8"/>
  <c r="G134" i="8" s="1"/>
  <c r="D135" i="8"/>
  <c r="AL136" i="8"/>
  <c r="N136" i="8" s="1"/>
  <c r="AK135" i="8"/>
  <c r="AF135" i="8"/>
  <c r="H135" i="8" s="1"/>
  <c r="AD136" i="8"/>
  <c r="F136" i="8" s="1"/>
  <c r="AL126" i="8"/>
  <c r="N126" i="8" s="1"/>
  <c r="AK126" i="8"/>
  <c r="M126" i="8" s="1"/>
  <c r="AK127" i="8"/>
  <c r="AF126" i="8"/>
  <c r="H126" i="8" s="1"/>
  <c r="AD128" i="8"/>
  <c r="F128" i="8" s="1"/>
  <c r="AF127" i="8"/>
  <c r="H127" i="8" s="1"/>
  <c r="AE126" i="8"/>
  <c r="G126" i="8" s="1"/>
  <c r="D127" i="8"/>
  <c r="Z117" i="8"/>
  <c r="C117" i="8" s="1"/>
  <c r="Z113" i="8"/>
  <c r="C113" i="8" s="1"/>
  <c r="O134" i="8"/>
  <c r="AJ127" i="8"/>
  <c r="L127" i="8" s="1"/>
  <c r="AJ136" i="8"/>
  <c r="L136" i="8" s="1"/>
  <c r="AL135" i="8"/>
  <c r="N135" i="8" s="1"/>
  <c r="AK134" i="8"/>
  <c r="M134" i="8" s="1"/>
  <c r="AG135" i="8"/>
  <c r="I135" i="8" s="1"/>
  <c r="AE135" i="8"/>
  <c r="G135" i="8" s="1"/>
  <c r="AD135" i="8"/>
  <c r="F135" i="8" s="1"/>
  <c r="AJ135" i="8"/>
  <c r="L135" i="8" s="1"/>
  <c r="AL134" i="8"/>
  <c r="N134" i="8" s="1"/>
  <c r="AF136" i="8"/>
  <c r="H136" i="8" s="1"/>
  <c r="AF134" i="8"/>
  <c r="H134" i="8" s="1"/>
  <c r="AB136" i="8"/>
  <c r="D136" i="8" s="1"/>
  <c r="AP126" i="8"/>
  <c r="R126" i="8" s="1"/>
  <c r="AK128" i="8"/>
  <c r="AF128" i="8"/>
  <c r="H128" i="8" s="1"/>
  <c r="AE127" i="8"/>
  <c r="AE123" i="8" s="1"/>
  <c r="AB128" i="8"/>
  <c r="D128" i="8" s="1"/>
  <c r="AL128" i="8"/>
  <c r="N128" i="8" s="1"/>
  <c r="AL127" i="8"/>
  <c r="N127" i="8" s="1"/>
  <c r="AE128" i="8"/>
  <c r="AD127" i="8"/>
  <c r="F127" i="8" s="1"/>
  <c r="Z121" i="8"/>
  <c r="C121" i="8" s="1"/>
  <c r="AA115" i="8"/>
  <c r="D115" i="8" s="1"/>
  <c r="Z115" i="8"/>
  <c r="C115" i="8" s="1"/>
  <c r="CL42" i="7"/>
  <c r="EH7" i="7"/>
  <c r="EL6" i="7"/>
  <c r="EM6" i="7" s="1"/>
  <c r="CM68" i="7"/>
  <c r="CR67" i="7"/>
  <c r="GV42" i="7"/>
  <c r="DW47" i="7"/>
  <c r="DX47" i="7" s="1"/>
  <c r="DX46" i="7"/>
  <c r="CS66" i="7"/>
  <c r="CW66" i="7" s="1"/>
  <c r="BQ66" i="7" s="1"/>
  <c r="BR66" i="7" s="1"/>
  <c r="BP66" i="7" s="1"/>
  <c r="CO67" i="7"/>
  <c r="GN18" i="7"/>
  <c r="GO17" i="7"/>
  <c r="DU18" i="7"/>
  <c r="DV17" i="7"/>
  <c r="CD28" i="7"/>
  <c r="CE27" i="7"/>
  <c r="GR43" i="7"/>
  <c r="GS43" i="7" s="1"/>
  <c r="GV43" i="7" s="1"/>
  <c r="GW43" i="7"/>
  <c r="CH43" i="7"/>
  <c r="CI43" i="7" s="1"/>
  <c r="CI48" i="7" s="1"/>
  <c r="CM43" i="7"/>
  <c r="GQ44" i="7"/>
  <c r="GP45" i="7"/>
  <c r="CG44" i="7"/>
  <c r="CF45" i="7"/>
  <c r="DW64" i="7"/>
  <c r="ED45" i="7"/>
  <c r="DY45" i="7"/>
  <c r="AO136" i="8" l="1"/>
  <c r="AO133" i="8" s="1"/>
  <c r="H126" i="4"/>
  <c r="H21" i="4"/>
  <c r="H29" i="4"/>
  <c r="JC78" i="7"/>
  <c r="JJ78" i="7"/>
  <c r="JV78" i="7"/>
  <c r="KF78" i="7"/>
  <c r="IT78" i="7"/>
  <c r="KG78" i="7"/>
  <c r="JK78" i="7"/>
  <c r="IU78" i="7"/>
  <c r="JR78" i="7"/>
  <c r="JB78" i="7"/>
  <c r="JX78" i="7"/>
  <c r="C57" i="7" s="1"/>
  <c r="H57" i="7" s="1"/>
  <c r="M57" i="7" s="1"/>
  <c r="JE78" i="7"/>
  <c r="JL78" i="7"/>
  <c r="KJ78" i="7"/>
  <c r="IV78" i="7"/>
  <c r="JZ78" i="7"/>
  <c r="E57" i="7" s="1"/>
  <c r="J57" i="7" s="1"/>
  <c r="O57" i="7" s="1"/>
  <c r="JO78" i="7"/>
  <c r="JG78" i="7"/>
  <c r="IY78" i="7"/>
  <c r="KL78" i="7"/>
  <c r="JY78" i="7"/>
  <c r="D57" i="7" s="1"/>
  <c r="I57" i="7" s="1"/>
  <c r="N57" i="7" s="1"/>
  <c r="JN78" i="7"/>
  <c r="JF78" i="7"/>
  <c r="IX78" i="7"/>
  <c r="KK78" i="7"/>
  <c r="JM78" i="7"/>
  <c r="IW78" i="7"/>
  <c r="JW78" i="7"/>
  <c r="B57" i="7" s="1"/>
  <c r="G57" i="7" s="1"/>
  <c r="L57" i="7" s="1"/>
  <c r="IR115" i="7"/>
  <c r="JD115" i="7" s="1"/>
  <c r="IR84" i="7"/>
  <c r="JK84" i="7" s="1"/>
  <c r="IR85" i="7"/>
  <c r="JF85" i="7" s="1"/>
  <c r="KI78" i="7"/>
  <c r="KE78" i="7"/>
  <c r="JI78" i="7"/>
  <c r="IS78" i="7"/>
  <c r="JP78" i="7"/>
  <c r="IZ78" i="7"/>
  <c r="JA78" i="7"/>
  <c r="KA78" i="7"/>
  <c r="F57" i="7" s="1"/>
  <c r="K57" i="7" s="1"/>
  <c r="P57" i="7" s="1"/>
  <c r="JQ78" i="7"/>
  <c r="JH78" i="7"/>
  <c r="KG84" i="7"/>
  <c r="AI66" i="7"/>
  <c r="H42" i="4" s="1"/>
  <c r="IK86" i="7"/>
  <c r="AE122" i="7"/>
  <c r="AB121" i="7"/>
  <c r="AB135" i="7"/>
  <c r="BA120" i="7"/>
  <c r="AB40" i="7" s="1"/>
  <c r="BD20" i="7" s="1"/>
  <c r="CL43" i="7"/>
  <c r="CL48" i="7" s="1"/>
  <c r="CK43" i="7"/>
  <c r="M135" i="8"/>
  <c r="AM139" i="8"/>
  <c r="AE124" i="8"/>
  <c r="G128" i="8"/>
  <c r="G127" i="8"/>
  <c r="AK124" i="8"/>
  <c r="M128" i="8"/>
  <c r="AK123" i="8"/>
  <c r="M127" i="8"/>
  <c r="EH8" i="7"/>
  <c r="EL7" i="7"/>
  <c r="EM7" i="7" s="1"/>
  <c r="EA36" i="7"/>
  <c r="CR68" i="7"/>
  <c r="CM69" i="7"/>
  <c r="CS67" i="7"/>
  <c r="CW67" i="7" s="1"/>
  <c r="BQ67" i="7" s="1"/>
  <c r="BR67" i="7" s="1"/>
  <c r="BP67" i="7" s="1"/>
  <c r="CO68" i="7"/>
  <c r="EA45" i="7"/>
  <c r="EA40" i="7"/>
  <c r="EA42" i="7"/>
  <c r="GN19" i="7"/>
  <c r="GO18" i="7"/>
  <c r="DV18" i="7"/>
  <c r="DU19" i="7"/>
  <c r="CD29" i="7"/>
  <c r="CE29" i="7" s="1"/>
  <c r="CE28" i="7"/>
  <c r="EA44" i="7"/>
  <c r="CH44" i="7"/>
  <c r="CM44" i="7"/>
  <c r="GR44" i="7"/>
  <c r="GW44" i="7"/>
  <c r="CG45" i="7"/>
  <c r="CF46" i="7"/>
  <c r="GP46" i="7"/>
  <c r="GQ45" i="7"/>
  <c r="EA43" i="7"/>
  <c r="ED47" i="7"/>
  <c r="EA47" i="7"/>
  <c r="DY47" i="7"/>
  <c r="DZ47" i="7" s="1"/>
  <c r="EB47" i="7" s="1"/>
  <c r="EB46" i="7" s="1"/>
  <c r="EA38" i="7"/>
  <c r="EA39" i="7"/>
  <c r="DW65" i="7"/>
  <c r="EA46" i="7"/>
  <c r="DY46" i="7"/>
  <c r="ED46" i="7"/>
  <c r="EA41" i="7"/>
  <c r="EA37" i="7"/>
  <c r="AM133" i="8" l="1"/>
  <c r="AN133" i="8" s="1"/>
  <c r="Q136" i="8" s="1"/>
  <c r="AO135" i="8"/>
  <c r="AO132" i="8" s="1"/>
  <c r="KL84" i="7"/>
  <c r="H30" i="4"/>
  <c r="H22" i="4"/>
  <c r="H127" i="4"/>
  <c r="AQ128" i="8"/>
  <c r="AQ124" i="8"/>
  <c r="Z128" i="8"/>
  <c r="AG123" i="8"/>
  <c r="JL84" i="7"/>
  <c r="IS84" i="7"/>
  <c r="JX85" i="7"/>
  <c r="C65" i="7" s="1"/>
  <c r="H65" i="7" s="1"/>
  <c r="M65" i="7" s="1"/>
  <c r="JF115" i="7"/>
  <c r="IV85" i="7"/>
  <c r="KI115" i="7"/>
  <c r="KJ85" i="7"/>
  <c r="IY115" i="7"/>
  <c r="JX115" i="7"/>
  <c r="C96" i="7" s="1"/>
  <c r="H96" i="7" s="1"/>
  <c r="M96" i="7" s="1"/>
  <c r="JG115" i="7"/>
  <c r="KA115" i="7"/>
  <c r="F96" i="7" s="1"/>
  <c r="K96" i="7" s="1"/>
  <c r="P96" i="7" s="1"/>
  <c r="JE85" i="7"/>
  <c r="JL85" i="7"/>
  <c r="IT115" i="7"/>
  <c r="JW115" i="7"/>
  <c r="B96" i="7" s="1"/>
  <c r="G96" i="7" s="1"/>
  <c r="L96" i="7" s="1"/>
  <c r="KA84" i="7"/>
  <c r="F64" i="7" s="1"/>
  <c r="K64" i="7" s="1"/>
  <c r="P64" i="7" s="1"/>
  <c r="IX84" i="7"/>
  <c r="JZ84" i="7"/>
  <c r="E64" i="7" s="1"/>
  <c r="J64" i="7" s="1"/>
  <c r="O64" i="7" s="1"/>
  <c r="JB84" i="7"/>
  <c r="KH78" i="7"/>
  <c r="JR115" i="7"/>
  <c r="IU115" i="7"/>
  <c r="IW115" i="7"/>
  <c r="JA115" i="7"/>
  <c r="JH115" i="7"/>
  <c r="JM85" i="7"/>
  <c r="IW85" i="7"/>
  <c r="JW85" i="7"/>
  <c r="B65" i="7" s="1"/>
  <c r="G65" i="7" s="1"/>
  <c r="L65" i="7" s="1"/>
  <c r="JD85" i="7"/>
  <c r="JN115" i="7"/>
  <c r="KE115" i="7"/>
  <c r="JI84" i="7"/>
  <c r="JE84" i="7"/>
  <c r="JN84" i="7"/>
  <c r="JG84" i="7"/>
  <c r="IW84" i="7"/>
  <c r="IU84" i="7"/>
  <c r="KM78" i="7"/>
  <c r="KN78" i="7" s="1"/>
  <c r="IN78" i="7" s="1"/>
  <c r="BX58" i="7" s="1"/>
  <c r="BY58" i="7" s="1"/>
  <c r="AK57" i="7" s="1"/>
  <c r="IX85" i="7"/>
  <c r="JG85" i="7"/>
  <c r="JZ85" i="7"/>
  <c r="E65" i="7" s="1"/>
  <c r="J65" i="7" s="1"/>
  <c r="O65" i="7" s="1"/>
  <c r="KL85" i="7"/>
  <c r="JN85" i="7"/>
  <c r="JS78" i="7"/>
  <c r="JT78" i="7" s="1"/>
  <c r="JB115" i="7"/>
  <c r="KG115" i="7"/>
  <c r="JY115" i="7"/>
  <c r="D96" i="7" s="1"/>
  <c r="I96" i="7" s="1"/>
  <c r="N96" i="7" s="1"/>
  <c r="KK115" i="7"/>
  <c r="JC115" i="7"/>
  <c r="JZ115" i="7"/>
  <c r="E96" i="7" s="1"/>
  <c r="J96" i="7" s="1"/>
  <c r="O96" i="7" s="1"/>
  <c r="JQ115" i="7"/>
  <c r="IZ115" i="7"/>
  <c r="JP115" i="7"/>
  <c r="JH84" i="7"/>
  <c r="JP84" i="7"/>
  <c r="IV84" i="7"/>
  <c r="KJ84" i="7"/>
  <c r="JX84" i="7"/>
  <c r="C64" i="7" s="1"/>
  <c r="H64" i="7" s="1"/>
  <c r="M64" i="7" s="1"/>
  <c r="JF84" i="7"/>
  <c r="JY84" i="7"/>
  <c r="D64" i="7" s="1"/>
  <c r="I64" i="7" s="1"/>
  <c r="N64" i="7" s="1"/>
  <c r="IY84" i="7"/>
  <c r="JO84" i="7"/>
  <c r="KE85" i="7"/>
  <c r="JQ85" i="7"/>
  <c r="JI85" i="7"/>
  <c r="JA85" i="7"/>
  <c r="IS85" i="7"/>
  <c r="KA85" i="7"/>
  <c r="F65" i="7" s="1"/>
  <c r="K65" i="7" s="1"/>
  <c r="P65" i="7" s="1"/>
  <c r="JP85" i="7"/>
  <c r="JH85" i="7"/>
  <c r="IZ85" i="7"/>
  <c r="KF115" i="7"/>
  <c r="JK115" i="7"/>
  <c r="JM115" i="7"/>
  <c r="IS115" i="7"/>
  <c r="JA84" i="7"/>
  <c r="JD84" i="7"/>
  <c r="KK84" i="7"/>
  <c r="JR84" i="7"/>
  <c r="KI85" i="7"/>
  <c r="JO85" i="7"/>
  <c r="IY85" i="7"/>
  <c r="JY85" i="7"/>
  <c r="D65" i="7" s="1"/>
  <c r="I65" i="7" s="1"/>
  <c r="N65" i="7" s="1"/>
  <c r="KB78" i="7"/>
  <c r="KC78" i="7" s="1"/>
  <c r="KK85" i="7"/>
  <c r="KG85" i="7"/>
  <c r="JK85" i="7"/>
  <c r="IU85" i="7"/>
  <c r="JR85" i="7"/>
  <c r="JB85" i="7"/>
  <c r="JV85" i="7"/>
  <c r="JC85" i="7"/>
  <c r="KF85" i="7"/>
  <c r="JJ85" i="7"/>
  <c r="IT85" i="7"/>
  <c r="KI84" i="7"/>
  <c r="JQ84" i="7"/>
  <c r="IZ84" i="7"/>
  <c r="JW84" i="7"/>
  <c r="B64" i="7" s="1"/>
  <c r="G64" i="7" s="1"/>
  <c r="L64" i="7" s="1"/>
  <c r="IT84" i="7"/>
  <c r="KF84" i="7"/>
  <c r="JV84" i="7"/>
  <c r="KE84" i="7"/>
  <c r="KH84" i="7" s="1"/>
  <c r="JM84" i="7"/>
  <c r="JJ84" i="7"/>
  <c r="JC84" i="7"/>
  <c r="KJ115" i="7"/>
  <c r="JJ115" i="7"/>
  <c r="KL115" i="7"/>
  <c r="JV115" i="7"/>
  <c r="JI115" i="7"/>
  <c r="JL115" i="7"/>
  <c r="JE115" i="7"/>
  <c r="IX115" i="7"/>
  <c r="JO115" i="7"/>
  <c r="IV115" i="7"/>
  <c r="IR86" i="7"/>
  <c r="IX86" i="7" s="1"/>
  <c r="AI67" i="7"/>
  <c r="H43" i="4" s="1"/>
  <c r="IK87" i="7"/>
  <c r="AE123" i="7"/>
  <c r="AE124" i="7" s="1"/>
  <c r="AE125" i="7" s="1"/>
  <c r="AE126" i="7" s="1"/>
  <c r="AL115" i="7" s="1"/>
  <c r="AB122" i="7"/>
  <c r="AB136" i="7"/>
  <c r="BA121" i="7"/>
  <c r="AB41" i="7" s="1"/>
  <c r="BD21" i="7" s="1"/>
  <c r="DB43" i="7"/>
  <c r="DI43" i="7"/>
  <c r="CN43" i="7"/>
  <c r="CU43" i="7"/>
  <c r="CV43" i="7" s="1"/>
  <c r="CW43" i="7" s="1"/>
  <c r="CX43" i="7" s="1"/>
  <c r="CY43" i="7" s="1"/>
  <c r="CZ43" i="7" s="1"/>
  <c r="DA43" i="7" s="1"/>
  <c r="CK42" i="7"/>
  <c r="Z123" i="8"/>
  <c r="AM132" i="8"/>
  <c r="AN132" i="8" s="1"/>
  <c r="Q135" i="8" s="1"/>
  <c r="AG124" i="8"/>
  <c r="AH128" i="8"/>
  <c r="AH127" i="8"/>
  <c r="EH9" i="7"/>
  <c r="EL8" i="7"/>
  <c r="EM8" i="7" s="1"/>
  <c r="CM70" i="7"/>
  <c r="CR69" i="7"/>
  <c r="EC47" i="7"/>
  <c r="EE47" i="7"/>
  <c r="DZ48" i="7"/>
  <c r="CS68" i="7"/>
  <c r="CW68" i="7" s="1"/>
  <c r="BQ68" i="7" s="1"/>
  <c r="BR68" i="7" s="1"/>
  <c r="BP68" i="7" s="1"/>
  <c r="CO69" i="7"/>
  <c r="DH44" i="7"/>
  <c r="DO44" i="7"/>
  <c r="GN20" i="7"/>
  <c r="GO19" i="7"/>
  <c r="DU20" i="7"/>
  <c r="DV19" i="7"/>
  <c r="GW45" i="7"/>
  <c r="GR45" i="7"/>
  <c r="CF47" i="7"/>
  <c r="CG47" i="7" s="1"/>
  <c r="CG46" i="7"/>
  <c r="GP47" i="7"/>
  <c r="GQ47" i="7" s="1"/>
  <c r="GQ46" i="7"/>
  <c r="CM45" i="7"/>
  <c r="CH45" i="7"/>
  <c r="CT44" i="7"/>
  <c r="DA44" i="7"/>
  <c r="H44" i="4" l="1"/>
  <c r="H128" i="4"/>
  <c r="H23" i="4"/>
  <c r="H31" i="4"/>
  <c r="AI127" i="8"/>
  <c r="AI123" i="8" s="1"/>
  <c r="K127" i="8" s="1"/>
  <c r="AR128" i="8"/>
  <c r="AR124" i="8" s="1"/>
  <c r="T128" i="8" s="1"/>
  <c r="Z127" i="8"/>
  <c r="AQ123" i="8"/>
  <c r="AQ127" i="8"/>
  <c r="KH115" i="7"/>
  <c r="KB84" i="7"/>
  <c r="KC84" i="7" s="1"/>
  <c r="KM115" i="7"/>
  <c r="KN115" i="7" s="1"/>
  <c r="IN115" i="7" s="1"/>
  <c r="BX95" i="7" s="1"/>
  <c r="BY95" i="7" s="1"/>
  <c r="AK96" i="7" s="1"/>
  <c r="KM85" i="7"/>
  <c r="KN85" i="7" s="1"/>
  <c r="IN85" i="7" s="1"/>
  <c r="BX65" i="7" s="1"/>
  <c r="BY65" i="7" s="1"/>
  <c r="AK65" i="7" s="1"/>
  <c r="KF86" i="7"/>
  <c r="JV86" i="7"/>
  <c r="IT86" i="7"/>
  <c r="JS115" i="7"/>
  <c r="JT115" i="7" s="1"/>
  <c r="JC86" i="7"/>
  <c r="JJ86" i="7"/>
  <c r="KG86" i="7"/>
  <c r="JK86" i="7"/>
  <c r="IU86" i="7"/>
  <c r="JR86" i="7"/>
  <c r="JB86" i="7"/>
  <c r="JZ86" i="7"/>
  <c r="E66" i="7" s="1"/>
  <c r="J66" i="7" s="1"/>
  <c r="O66" i="7" s="1"/>
  <c r="JO86" i="7"/>
  <c r="JG86" i="7"/>
  <c r="IY86" i="7"/>
  <c r="KL86" i="7"/>
  <c r="JY86" i="7"/>
  <c r="D66" i="7" s="1"/>
  <c r="I66" i="7" s="1"/>
  <c r="N66" i="7" s="1"/>
  <c r="JN86" i="7"/>
  <c r="JF86" i="7"/>
  <c r="JS85" i="7"/>
  <c r="JT85" i="7" s="1"/>
  <c r="KH85" i="7"/>
  <c r="KB85" i="7"/>
  <c r="KC85" i="7" s="1"/>
  <c r="JS84" i="7"/>
  <c r="JT84" i="7" s="1"/>
  <c r="KM84" i="7"/>
  <c r="KN84" i="7" s="1"/>
  <c r="IN84" i="7" s="1"/>
  <c r="BX64" i="7" s="1"/>
  <c r="KB115" i="7"/>
  <c r="KC115" i="7" s="1"/>
  <c r="IR87" i="7"/>
  <c r="JB87" i="7" s="1"/>
  <c r="KI86" i="7"/>
  <c r="KE86" i="7"/>
  <c r="JQ86" i="7"/>
  <c r="JI86" i="7"/>
  <c r="JA86" i="7"/>
  <c r="IS86" i="7"/>
  <c r="KA86" i="7"/>
  <c r="F66" i="7" s="1"/>
  <c r="K66" i="7" s="1"/>
  <c r="P66" i="7" s="1"/>
  <c r="JP86" i="7"/>
  <c r="JH86" i="7"/>
  <c r="IZ86" i="7"/>
  <c r="JX86" i="7"/>
  <c r="C66" i="7" s="1"/>
  <c r="H66" i="7" s="1"/>
  <c r="M66" i="7" s="1"/>
  <c r="JE86" i="7"/>
  <c r="KJ86" i="7"/>
  <c r="JL86" i="7"/>
  <c r="IV86" i="7"/>
  <c r="KK86" i="7"/>
  <c r="JM86" i="7"/>
  <c r="IW86" i="7"/>
  <c r="JW86" i="7"/>
  <c r="JD86" i="7"/>
  <c r="AI68" i="7"/>
  <c r="H57" i="4" s="1"/>
  <c r="IK88" i="7"/>
  <c r="AL116" i="7"/>
  <c r="AI115" i="7"/>
  <c r="BA122" i="7"/>
  <c r="AB42" i="7" s="1"/>
  <c r="BD22" i="7" s="1"/>
  <c r="AB137" i="7"/>
  <c r="CN42" i="7"/>
  <c r="CO42" i="7" s="1"/>
  <c r="CP42" i="7" s="1"/>
  <c r="DB42" i="7"/>
  <c r="DC42" i="7" s="1"/>
  <c r="DD42" i="7" s="1"/>
  <c r="CU42" i="7"/>
  <c r="CV42" i="7" s="1"/>
  <c r="CW42" i="7" s="1"/>
  <c r="CX42" i="7" s="1"/>
  <c r="CY42" i="7" s="1"/>
  <c r="CZ42" i="7" s="1"/>
  <c r="DA42" i="7" s="1"/>
  <c r="DI42" i="7"/>
  <c r="DJ42" i="7" s="1"/>
  <c r="DK42" i="7" s="1"/>
  <c r="CK41" i="7"/>
  <c r="CO43" i="7"/>
  <c r="CP43" i="7" s="1"/>
  <c r="CQ43" i="7" s="1"/>
  <c r="CR43" i="7" s="1"/>
  <c r="CS43" i="7" s="1"/>
  <c r="CT43" i="7" s="1"/>
  <c r="DC43" i="7"/>
  <c r="DD43" i="7" s="1"/>
  <c r="DE43" i="7" s="1"/>
  <c r="DF43" i="7" s="1"/>
  <c r="DG43" i="7" s="1"/>
  <c r="DH43" i="7" s="1"/>
  <c r="DJ43" i="7"/>
  <c r="DK43" i="7" s="1"/>
  <c r="DL43" i="7" s="1"/>
  <c r="AA133" i="8"/>
  <c r="AI128" i="8"/>
  <c r="AI124" i="8" s="1"/>
  <c r="K128" i="8" s="1"/>
  <c r="AA123" i="8"/>
  <c r="Y123" i="8" s="1"/>
  <c r="EH10" i="7"/>
  <c r="EL9" i="7"/>
  <c r="EM9" i="7" s="1"/>
  <c r="EF47" i="7"/>
  <c r="EG47" i="7" s="1"/>
  <c r="EH47" i="7" s="1"/>
  <c r="CR70" i="7"/>
  <c r="CM71" i="7"/>
  <c r="EC48" i="7"/>
  <c r="ED49" i="7" s="1"/>
  <c r="EE46" i="7"/>
  <c r="GB47" i="7"/>
  <c r="EL47" i="7"/>
  <c r="FN47" i="7"/>
  <c r="EZ47" i="7"/>
  <c r="ES47" i="7"/>
  <c r="FU47" i="7"/>
  <c r="FG47" i="7"/>
  <c r="CS69" i="7"/>
  <c r="CW69" i="7" s="1"/>
  <c r="BQ69" i="7" s="1"/>
  <c r="BR69" i="7" s="1"/>
  <c r="BP69" i="7" s="1"/>
  <c r="CO70" i="7"/>
  <c r="CJ43" i="7"/>
  <c r="CJ45" i="7"/>
  <c r="DO45" i="7"/>
  <c r="DH45" i="7"/>
  <c r="GN21" i="7"/>
  <c r="GO20" i="7"/>
  <c r="DV20" i="7"/>
  <c r="DU21" i="7"/>
  <c r="CJ41" i="7"/>
  <c r="CJ42" i="7"/>
  <c r="GR47" i="7"/>
  <c r="GS47" i="7" s="1"/>
  <c r="GW47" i="7"/>
  <c r="GT47" i="7"/>
  <c r="CM47" i="7"/>
  <c r="CJ47" i="7"/>
  <c r="CH47" i="7"/>
  <c r="CT45" i="7"/>
  <c r="DA45" i="7"/>
  <c r="GT36" i="7"/>
  <c r="GT37" i="7"/>
  <c r="GR46" i="7"/>
  <c r="GS46" i="7" s="1"/>
  <c r="GV46" i="7" s="1"/>
  <c r="GT40" i="7"/>
  <c r="GT41" i="7"/>
  <c r="GT44" i="7"/>
  <c r="GT39" i="7"/>
  <c r="GT38" i="7"/>
  <c r="GT46" i="7"/>
  <c r="GW46" i="7"/>
  <c r="GT43" i="7"/>
  <c r="GT42" i="7"/>
  <c r="CJ44" i="7"/>
  <c r="CJ37" i="7"/>
  <c r="CJ39" i="7"/>
  <c r="CH46" i="7"/>
  <c r="CJ40" i="7"/>
  <c r="CJ36" i="7"/>
  <c r="CJ38" i="7"/>
  <c r="CJ46" i="7"/>
  <c r="CM46" i="7"/>
  <c r="GT45" i="7"/>
  <c r="H32" i="4" l="1"/>
  <c r="H24" i="4"/>
  <c r="H45" i="4"/>
  <c r="H129" i="4"/>
  <c r="AR127" i="8"/>
  <c r="AR123" i="8" s="1"/>
  <c r="T127" i="8" s="1"/>
  <c r="JL87" i="7"/>
  <c r="JE87" i="7"/>
  <c r="JC87" i="7"/>
  <c r="JX87" i="7"/>
  <c r="C67" i="7" s="1"/>
  <c r="H67" i="7" s="1"/>
  <c r="M67" i="7" s="1"/>
  <c r="KJ87" i="7"/>
  <c r="IV87" i="7"/>
  <c r="JJ87" i="7"/>
  <c r="JM87" i="7"/>
  <c r="IW87" i="7"/>
  <c r="JW87" i="7"/>
  <c r="B67" i="7" s="1"/>
  <c r="G67" i="7" s="1"/>
  <c r="L67" i="7" s="1"/>
  <c r="JD87" i="7"/>
  <c r="JV87" i="7"/>
  <c r="KF87" i="7"/>
  <c r="IT87" i="7"/>
  <c r="KH86" i="7"/>
  <c r="KB86" i="7"/>
  <c r="KC86" i="7" s="1"/>
  <c r="B66" i="7"/>
  <c r="G66" i="7" s="1"/>
  <c r="L66" i="7" s="1"/>
  <c r="KE87" i="7"/>
  <c r="JQ87" i="7"/>
  <c r="JI87" i="7"/>
  <c r="JA87" i="7"/>
  <c r="IS87" i="7"/>
  <c r="KA87" i="7"/>
  <c r="F67" i="7" s="1"/>
  <c r="K67" i="7" s="1"/>
  <c r="P67" i="7" s="1"/>
  <c r="JP87" i="7"/>
  <c r="JH87" i="7"/>
  <c r="IZ87" i="7"/>
  <c r="KG87" i="7"/>
  <c r="JK87" i="7"/>
  <c r="IU87" i="7"/>
  <c r="JR87" i="7"/>
  <c r="KK87" i="7"/>
  <c r="KI87" i="7"/>
  <c r="JO87" i="7"/>
  <c r="IY87" i="7"/>
  <c r="JY87" i="7"/>
  <c r="D67" i="7" s="1"/>
  <c r="I67" i="7" s="1"/>
  <c r="N67" i="7" s="1"/>
  <c r="JF87" i="7"/>
  <c r="JZ87" i="7"/>
  <c r="E67" i="7" s="1"/>
  <c r="J67" i="7" s="1"/>
  <c r="O67" i="7" s="1"/>
  <c r="JG87" i="7"/>
  <c r="KL87" i="7"/>
  <c r="JN87" i="7"/>
  <c r="IX87" i="7"/>
  <c r="KM86" i="7"/>
  <c r="KN86" i="7" s="1"/>
  <c r="IN86" i="7" s="1"/>
  <c r="BX66" i="7" s="1"/>
  <c r="BY66" i="7" s="1"/>
  <c r="AK66" i="7" s="1"/>
  <c r="IR88" i="7"/>
  <c r="JD88" i="7" s="1"/>
  <c r="JS86" i="7"/>
  <c r="JT86" i="7" s="1"/>
  <c r="JL88" i="7"/>
  <c r="AI69" i="7"/>
  <c r="H64" i="4" s="1"/>
  <c r="IK89" i="7"/>
  <c r="AL117" i="7"/>
  <c r="AI116" i="7"/>
  <c r="AI130" i="7"/>
  <c r="BC115" i="7"/>
  <c r="AI35" i="7" s="1"/>
  <c r="BI15" i="7" s="1"/>
  <c r="DI41" i="7"/>
  <c r="DJ41" i="7" s="1"/>
  <c r="DK41" i="7" s="1"/>
  <c r="CN41" i="7"/>
  <c r="CO41" i="7" s="1"/>
  <c r="CP41" i="7" s="1"/>
  <c r="DB41" i="7"/>
  <c r="DC41" i="7" s="1"/>
  <c r="DD41" i="7" s="1"/>
  <c r="CK40" i="7"/>
  <c r="CU41" i="7"/>
  <c r="CV41" i="7" s="1"/>
  <c r="CW41" i="7" s="1"/>
  <c r="CX41" i="7" s="1"/>
  <c r="CY41" i="7" s="1"/>
  <c r="CZ41" i="7" s="1"/>
  <c r="DA41" i="7" s="1"/>
  <c r="CQ42" i="7"/>
  <c r="CR42" i="7" s="1"/>
  <c r="CS42" i="7" s="1"/>
  <c r="CT42" i="7" s="1"/>
  <c r="DL42" i="7"/>
  <c r="DE42" i="7"/>
  <c r="DF42" i="7" s="1"/>
  <c r="DG42" i="7" s="1"/>
  <c r="DH42" i="7" s="1"/>
  <c r="Y133" i="8"/>
  <c r="GU47" i="7"/>
  <c r="GV47" i="7"/>
  <c r="GV48" i="7" s="1"/>
  <c r="GW49" i="7" s="1"/>
  <c r="GS48" i="7"/>
  <c r="CR71" i="7"/>
  <c r="EH11" i="7"/>
  <c r="EL10" i="7"/>
  <c r="EM10" i="7" s="1"/>
  <c r="EI47" i="7"/>
  <c r="EJ47" i="7" s="1"/>
  <c r="EK47" i="7" s="1"/>
  <c r="EH46" i="7"/>
  <c r="FV47" i="7"/>
  <c r="FW47" i="7" s="1"/>
  <c r="FX47" i="7" s="1"/>
  <c r="FA47" i="7"/>
  <c r="FB47" i="7" s="1"/>
  <c r="FC47" i="7" s="1"/>
  <c r="EM47" i="7"/>
  <c r="EN47" i="7" s="1"/>
  <c r="EO47" i="7" s="1"/>
  <c r="EB45" i="7"/>
  <c r="EE45" i="7" s="1"/>
  <c r="GB46" i="7"/>
  <c r="ES46" i="7"/>
  <c r="FN46" i="7"/>
  <c r="FG46" i="7"/>
  <c r="EL46" i="7"/>
  <c r="FU46" i="7"/>
  <c r="EZ46" i="7"/>
  <c r="FH47" i="7"/>
  <c r="FI47" i="7" s="1"/>
  <c r="FJ47" i="7" s="1"/>
  <c r="ET47" i="7"/>
  <c r="EU47" i="7" s="1"/>
  <c r="EV47" i="7" s="1"/>
  <c r="FO47" i="7"/>
  <c r="FP47" i="7" s="1"/>
  <c r="FQ47" i="7" s="1"/>
  <c r="GC47" i="7"/>
  <c r="GD47" i="7" s="1"/>
  <c r="GE47" i="7" s="1"/>
  <c r="CS70" i="7"/>
  <c r="CW70" i="7" s="1"/>
  <c r="BQ70" i="7" s="1"/>
  <c r="BR70" i="7" s="1"/>
  <c r="BP70" i="7" s="1"/>
  <c r="CO71" i="7"/>
  <c r="DO47" i="7"/>
  <c r="DH47" i="7"/>
  <c r="DO46" i="7"/>
  <c r="DH46" i="7"/>
  <c r="GN22" i="7"/>
  <c r="GO21" i="7"/>
  <c r="DV21" i="7"/>
  <c r="DU22" i="7"/>
  <c r="CT47" i="7"/>
  <c r="DA47" i="7"/>
  <c r="DA46" i="7"/>
  <c r="CT46" i="7"/>
  <c r="H46" i="4" l="1"/>
  <c r="H25" i="4"/>
  <c r="H33" i="4"/>
  <c r="H63" i="4"/>
  <c r="H130" i="4"/>
  <c r="KF88" i="7"/>
  <c r="JV88" i="7"/>
  <c r="IT88" i="7"/>
  <c r="JC88" i="7"/>
  <c r="JJ88" i="7"/>
  <c r="JE88" i="7"/>
  <c r="KG88" i="7"/>
  <c r="JK88" i="7"/>
  <c r="IU88" i="7"/>
  <c r="JR88" i="7"/>
  <c r="JB88" i="7"/>
  <c r="JX88" i="7"/>
  <c r="C68" i="7" s="1"/>
  <c r="H68" i="7" s="1"/>
  <c r="M68" i="7" s="1"/>
  <c r="KJ88" i="7"/>
  <c r="IV88" i="7"/>
  <c r="KB87" i="7"/>
  <c r="KC87" i="7" s="1"/>
  <c r="KM87" i="7"/>
  <c r="KN87" i="7" s="1"/>
  <c r="IN87" i="7" s="1"/>
  <c r="BX67" i="7" s="1"/>
  <c r="BY67" i="7" s="1"/>
  <c r="AK67" i="7" s="1"/>
  <c r="JZ88" i="7"/>
  <c r="E68" i="7" s="1"/>
  <c r="J68" i="7" s="1"/>
  <c r="O68" i="7" s="1"/>
  <c r="JO88" i="7"/>
  <c r="JG88" i="7"/>
  <c r="IY88" i="7"/>
  <c r="KL88" i="7"/>
  <c r="JY88" i="7"/>
  <c r="D68" i="7" s="1"/>
  <c r="I68" i="7" s="1"/>
  <c r="N68" i="7" s="1"/>
  <c r="JN88" i="7"/>
  <c r="JF88" i="7"/>
  <c r="IX88" i="7"/>
  <c r="KK88" i="7"/>
  <c r="JM88" i="7"/>
  <c r="IW88" i="7"/>
  <c r="JW88" i="7"/>
  <c r="B68" i="7" s="1"/>
  <c r="G68" i="7" s="1"/>
  <c r="L68" i="7" s="1"/>
  <c r="KH87" i="7"/>
  <c r="JS87" i="7"/>
  <c r="JT87" i="7" s="1"/>
  <c r="IR89" i="7"/>
  <c r="IX89" i="7" s="1"/>
  <c r="KI88" i="7"/>
  <c r="JQ88" i="7"/>
  <c r="JA88" i="7"/>
  <c r="KA88" i="7"/>
  <c r="F68" i="7" s="1"/>
  <c r="K68" i="7" s="1"/>
  <c r="P68" i="7" s="1"/>
  <c r="JH88" i="7"/>
  <c r="KE88" i="7"/>
  <c r="JI88" i="7"/>
  <c r="IS88" i="7"/>
  <c r="JP88" i="7"/>
  <c r="IZ88" i="7"/>
  <c r="AI70" i="7"/>
  <c r="H77" i="4" s="1"/>
  <c r="IK90" i="7"/>
  <c r="AL118" i="7"/>
  <c r="AI117" i="7"/>
  <c r="AI131" i="7"/>
  <c r="BC116" i="7"/>
  <c r="AI36" i="7" s="1"/>
  <c r="BI16" i="7" s="1"/>
  <c r="DE41" i="7"/>
  <c r="DF41" i="7" s="1"/>
  <c r="DG41" i="7" s="1"/>
  <c r="DH41" i="7" s="1"/>
  <c r="DL41" i="7"/>
  <c r="CU40" i="7"/>
  <c r="CV40" i="7" s="1"/>
  <c r="CW40" i="7" s="1"/>
  <c r="CX40" i="7" s="1"/>
  <c r="DI40" i="7"/>
  <c r="DJ40" i="7" s="1"/>
  <c r="DK40" i="7" s="1"/>
  <c r="DL40" i="7" s="1"/>
  <c r="CK39" i="7"/>
  <c r="CN40" i="7"/>
  <c r="CO40" i="7" s="1"/>
  <c r="CP40" i="7" s="1"/>
  <c r="DB40" i="7"/>
  <c r="DC40" i="7" s="1"/>
  <c r="DD40" i="7" s="1"/>
  <c r="DE40" i="7" s="1"/>
  <c r="DF40" i="7" s="1"/>
  <c r="DG40" i="7" s="1"/>
  <c r="DH40" i="7" s="1"/>
  <c r="CQ41" i="7"/>
  <c r="AB139" i="8"/>
  <c r="C138" i="8" s="1"/>
  <c r="HZ47" i="7"/>
  <c r="HS47" i="7"/>
  <c r="HT47" i="7" s="1"/>
  <c r="GU46" i="7"/>
  <c r="GX47" i="7"/>
  <c r="GY47" i="7" s="1"/>
  <c r="HL47" i="7"/>
  <c r="HE47" i="7"/>
  <c r="HF47" i="7" s="1"/>
  <c r="HG47" i="7" s="1"/>
  <c r="HR71" i="7"/>
  <c r="HS69" i="7"/>
  <c r="EH12" i="7"/>
  <c r="EL11" i="7"/>
  <c r="EM11" i="7" s="1"/>
  <c r="EI46" i="7"/>
  <c r="EJ46" i="7" s="1"/>
  <c r="EK46" i="7" s="1"/>
  <c r="EH45" i="7"/>
  <c r="GF47" i="7"/>
  <c r="GG47" i="7" s="1"/>
  <c r="GH47" i="7" s="1"/>
  <c r="GZ47" i="7"/>
  <c r="GE46" i="7"/>
  <c r="FR47" i="7"/>
  <c r="FS47" i="7" s="1"/>
  <c r="FT47" i="7" s="1"/>
  <c r="FQ46" i="7"/>
  <c r="EW47" i="7"/>
  <c r="EX47" i="7" s="1"/>
  <c r="EY47" i="7" s="1"/>
  <c r="EV46" i="7"/>
  <c r="FK47" i="7"/>
  <c r="FL47" i="7" s="1"/>
  <c r="FM47" i="7" s="1"/>
  <c r="FJ46" i="7"/>
  <c r="GB45" i="7"/>
  <c r="ES45" i="7"/>
  <c r="FU45" i="7"/>
  <c r="EZ45" i="7"/>
  <c r="FG45" i="7"/>
  <c r="EL45" i="7"/>
  <c r="FN45" i="7"/>
  <c r="EB44" i="7"/>
  <c r="EE44" i="7" s="1"/>
  <c r="EP47" i="7"/>
  <c r="EQ47" i="7" s="1"/>
  <c r="ER47" i="7" s="1"/>
  <c r="EO46" i="7"/>
  <c r="FD47" i="7"/>
  <c r="FE47" i="7" s="1"/>
  <c r="FF47" i="7" s="1"/>
  <c r="FC46" i="7"/>
  <c r="FY47" i="7"/>
  <c r="FZ47" i="7" s="1"/>
  <c r="GA47" i="7" s="1"/>
  <c r="FX46" i="7"/>
  <c r="CS71" i="7"/>
  <c r="CW71" i="7" s="1"/>
  <c r="BQ71" i="7" s="1"/>
  <c r="BR71" i="7" s="1"/>
  <c r="BP71" i="7" s="1"/>
  <c r="GN23" i="7"/>
  <c r="GO22" i="7"/>
  <c r="DV22" i="7"/>
  <c r="DU23" i="7"/>
  <c r="H131" i="4" l="1"/>
  <c r="H62" i="4"/>
  <c r="H34" i="4"/>
  <c r="H26" i="4"/>
  <c r="H47" i="4"/>
  <c r="H76" i="4"/>
  <c r="H78" i="4"/>
  <c r="KH88" i="7"/>
  <c r="KM88" i="7"/>
  <c r="KN88" i="7" s="1"/>
  <c r="IN88" i="7" s="1"/>
  <c r="BX68" i="7" s="1"/>
  <c r="BY68" i="7" s="1"/>
  <c r="AK68" i="7" s="1"/>
  <c r="JC89" i="7"/>
  <c r="JJ89" i="7"/>
  <c r="JV89" i="7"/>
  <c r="KF89" i="7"/>
  <c r="IT89" i="7"/>
  <c r="KG89" i="7"/>
  <c r="JK89" i="7"/>
  <c r="IU89" i="7"/>
  <c r="JR89" i="7"/>
  <c r="JB89" i="7"/>
  <c r="KB88" i="7"/>
  <c r="KC88" i="7" s="1"/>
  <c r="JS88" i="7"/>
  <c r="JT88" i="7" s="1"/>
  <c r="JZ89" i="7"/>
  <c r="E69" i="7" s="1"/>
  <c r="J69" i="7" s="1"/>
  <c r="O69" i="7" s="1"/>
  <c r="JO89" i="7"/>
  <c r="JG89" i="7"/>
  <c r="IY89" i="7"/>
  <c r="KL89" i="7"/>
  <c r="JY89" i="7"/>
  <c r="D69" i="7" s="1"/>
  <c r="I69" i="7" s="1"/>
  <c r="N69" i="7" s="1"/>
  <c r="JN89" i="7"/>
  <c r="JF89" i="7"/>
  <c r="IR90" i="7"/>
  <c r="IX90" i="7" s="1"/>
  <c r="KI89" i="7"/>
  <c r="KE89" i="7"/>
  <c r="JQ89" i="7"/>
  <c r="JI89" i="7"/>
  <c r="JA89" i="7"/>
  <c r="IS89" i="7"/>
  <c r="KA89" i="7"/>
  <c r="F69" i="7" s="1"/>
  <c r="K69" i="7" s="1"/>
  <c r="P69" i="7" s="1"/>
  <c r="JP89" i="7"/>
  <c r="JH89" i="7"/>
  <c r="IZ89" i="7"/>
  <c r="KK89" i="7"/>
  <c r="JX89" i="7"/>
  <c r="C69" i="7" s="1"/>
  <c r="H69" i="7" s="1"/>
  <c r="M69" i="7" s="1"/>
  <c r="JM89" i="7"/>
  <c r="JE89" i="7"/>
  <c r="IW89" i="7"/>
  <c r="KJ89" i="7"/>
  <c r="JW89" i="7"/>
  <c r="JL89" i="7"/>
  <c r="JD89" i="7"/>
  <c r="IV89" i="7"/>
  <c r="AI71" i="7"/>
  <c r="H81" i="4" s="1"/>
  <c r="IK91" i="7"/>
  <c r="AL119" i="7"/>
  <c r="AI118" i="7"/>
  <c r="AI132" i="7"/>
  <c r="BC117" i="7"/>
  <c r="AI37" i="7" s="1"/>
  <c r="BI17" i="7" s="1"/>
  <c r="CQ40" i="7"/>
  <c r="CR40" i="7" s="1"/>
  <c r="CS40" i="7" s="1"/>
  <c r="CT40" i="7" s="1"/>
  <c r="CU39" i="7"/>
  <c r="CV39" i="7" s="1"/>
  <c r="CW39" i="7" s="1"/>
  <c r="CX39" i="7" s="1"/>
  <c r="DI39" i="7"/>
  <c r="DJ39" i="7" s="1"/>
  <c r="DK39" i="7" s="1"/>
  <c r="DL39" i="7" s="1"/>
  <c r="CN39" i="7"/>
  <c r="CO39" i="7" s="1"/>
  <c r="CP39" i="7" s="1"/>
  <c r="DB39" i="7"/>
  <c r="DC39" i="7" s="1"/>
  <c r="DD39" i="7" s="1"/>
  <c r="DE39" i="7" s="1"/>
  <c r="DF39" i="7" s="1"/>
  <c r="DG39" i="7" s="1"/>
  <c r="DH39" i="7" s="1"/>
  <c r="CK38" i="7"/>
  <c r="HM47" i="7"/>
  <c r="HN47" i="7" s="1"/>
  <c r="HO47" i="7" s="1"/>
  <c r="HZ46" i="7"/>
  <c r="IA46" i="7" s="1"/>
  <c r="IB46" i="7" s="1"/>
  <c r="HS46" i="7"/>
  <c r="HT46" i="7" s="1"/>
  <c r="GU45" i="7"/>
  <c r="GX46" i="7"/>
  <c r="GY46" i="7" s="1"/>
  <c r="GZ46" i="7" s="1"/>
  <c r="HE46" i="7"/>
  <c r="HF46" i="7" s="1"/>
  <c r="HG46" i="7" s="1"/>
  <c r="HL46" i="7"/>
  <c r="HM46" i="7" s="1"/>
  <c r="HN46" i="7" s="1"/>
  <c r="IA47" i="7"/>
  <c r="IB47" i="7" s="1"/>
  <c r="IC47" i="7" s="1"/>
  <c r="HH47" i="7"/>
  <c r="II47" i="7"/>
  <c r="IH47" i="7"/>
  <c r="EH13" i="7"/>
  <c r="EL12" i="7"/>
  <c r="EM12" i="7" s="1"/>
  <c r="EH44" i="7"/>
  <c r="EI45" i="7"/>
  <c r="EJ45" i="7" s="1"/>
  <c r="EK45" i="7" s="1"/>
  <c r="FK46" i="7"/>
  <c r="FL46" i="7" s="1"/>
  <c r="FM46" i="7" s="1"/>
  <c r="FJ45" i="7"/>
  <c r="EW46" i="7"/>
  <c r="EX46" i="7" s="1"/>
  <c r="EY46" i="7" s="1"/>
  <c r="EV45" i="7"/>
  <c r="FR46" i="7"/>
  <c r="FS46" i="7" s="1"/>
  <c r="FT46" i="7" s="1"/>
  <c r="FQ45" i="7"/>
  <c r="GF46" i="7"/>
  <c r="GG46" i="7" s="1"/>
  <c r="GH46" i="7" s="1"/>
  <c r="GE45" i="7"/>
  <c r="FY46" i="7"/>
  <c r="FZ46" i="7" s="1"/>
  <c r="GA46" i="7" s="1"/>
  <c r="FX45" i="7"/>
  <c r="FD46" i="7"/>
  <c r="FE46" i="7" s="1"/>
  <c r="FF46" i="7" s="1"/>
  <c r="FC45" i="7"/>
  <c r="EP46" i="7"/>
  <c r="EQ46" i="7" s="1"/>
  <c r="ER46" i="7" s="1"/>
  <c r="EO45" i="7"/>
  <c r="GB44" i="7"/>
  <c r="GC44" i="7" s="1"/>
  <c r="GD44" i="7" s="1"/>
  <c r="FN44" i="7"/>
  <c r="FO44" i="7" s="1"/>
  <c r="FP44" i="7" s="1"/>
  <c r="ES44" i="7"/>
  <c r="ET44" i="7" s="1"/>
  <c r="EU44" i="7" s="1"/>
  <c r="EB43" i="7"/>
  <c r="EE43" i="7" s="1"/>
  <c r="EF43" i="7" s="1"/>
  <c r="EG43" i="7" s="1"/>
  <c r="FU44" i="7"/>
  <c r="FV44" i="7" s="1"/>
  <c r="FW44" i="7" s="1"/>
  <c r="FG44" i="7"/>
  <c r="FH44" i="7" s="1"/>
  <c r="FI44" i="7" s="1"/>
  <c r="EL44" i="7"/>
  <c r="EM44" i="7" s="1"/>
  <c r="EN44" i="7" s="1"/>
  <c r="EZ44" i="7"/>
  <c r="FA44" i="7" s="1"/>
  <c r="FB44" i="7" s="1"/>
  <c r="HA47" i="7"/>
  <c r="HB47" i="7" s="1"/>
  <c r="HC47" i="7" s="1"/>
  <c r="HD47" i="7" s="1"/>
  <c r="HU47" i="7"/>
  <c r="GN24" i="7"/>
  <c r="GO23" i="7"/>
  <c r="DV23" i="7"/>
  <c r="DU24" i="7"/>
  <c r="H75" i="4" l="1"/>
  <c r="H48" i="4"/>
  <c r="H27" i="4"/>
  <c r="H35" i="4"/>
  <c r="H61" i="4"/>
  <c r="H132" i="4"/>
  <c r="H82" i="4"/>
  <c r="H79" i="4"/>
  <c r="JP90" i="7"/>
  <c r="JI90" i="7"/>
  <c r="JO90" i="7"/>
  <c r="KE90" i="7"/>
  <c r="IS90" i="7"/>
  <c r="IZ90" i="7"/>
  <c r="JY90" i="7"/>
  <c r="D70" i="7" s="1"/>
  <c r="I70" i="7" s="1"/>
  <c r="N70" i="7" s="1"/>
  <c r="KH89" i="7"/>
  <c r="JQ90" i="7"/>
  <c r="JA90" i="7"/>
  <c r="KA90" i="7"/>
  <c r="F70" i="7" s="1"/>
  <c r="K70" i="7" s="1"/>
  <c r="P70" i="7" s="1"/>
  <c r="JH90" i="7"/>
  <c r="KI90" i="7"/>
  <c r="IY90" i="7"/>
  <c r="JF90" i="7"/>
  <c r="JS89" i="7"/>
  <c r="JT89" i="7" s="1"/>
  <c r="KB89" i="7"/>
  <c r="KC89" i="7" s="1"/>
  <c r="B69" i="7"/>
  <c r="G69" i="7" s="1"/>
  <c r="L69" i="7" s="1"/>
  <c r="JX90" i="7"/>
  <c r="C70" i="7" s="1"/>
  <c r="H70" i="7" s="1"/>
  <c r="M70" i="7" s="1"/>
  <c r="JM90" i="7"/>
  <c r="JE90" i="7"/>
  <c r="IW90" i="7"/>
  <c r="KJ90" i="7"/>
  <c r="JW90" i="7"/>
  <c r="B70" i="7" s="1"/>
  <c r="G70" i="7" s="1"/>
  <c r="L70" i="7" s="1"/>
  <c r="JL90" i="7"/>
  <c r="JD90" i="7"/>
  <c r="IV90" i="7"/>
  <c r="JZ90" i="7"/>
  <c r="E70" i="7" s="1"/>
  <c r="J70" i="7" s="1"/>
  <c r="O70" i="7" s="1"/>
  <c r="JG90" i="7"/>
  <c r="KL90" i="7"/>
  <c r="JN90" i="7"/>
  <c r="KM89" i="7"/>
  <c r="KN89" i="7" s="1"/>
  <c r="IN89" i="7" s="1"/>
  <c r="BX69" i="7" s="1"/>
  <c r="BY69" i="7" s="1"/>
  <c r="AK69" i="7" s="1"/>
  <c r="KK90" i="7"/>
  <c r="JK90" i="7"/>
  <c r="JB90" i="7"/>
  <c r="JV90" i="7"/>
  <c r="JC90" i="7"/>
  <c r="KF90" i="7"/>
  <c r="JJ90" i="7"/>
  <c r="IT90" i="7"/>
  <c r="KG90" i="7"/>
  <c r="IU90" i="7"/>
  <c r="JR90" i="7"/>
  <c r="IR91" i="7"/>
  <c r="IX91" i="7" s="1"/>
  <c r="AL120" i="7"/>
  <c r="AI119" i="7"/>
  <c r="AI133" i="7"/>
  <c r="BC118" i="7"/>
  <c r="AI38" i="7" s="1"/>
  <c r="BI18" i="7" s="1"/>
  <c r="CQ39" i="7"/>
  <c r="CU38" i="7"/>
  <c r="CV38" i="7" s="1"/>
  <c r="CW38" i="7" s="1"/>
  <c r="CX38" i="7" s="1"/>
  <c r="DI38" i="7"/>
  <c r="DJ38" i="7" s="1"/>
  <c r="DK38" i="7" s="1"/>
  <c r="DL38" i="7" s="1"/>
  <c r="CK37" i="7"/>
  <c r="CN38" i="7"/>
  <c r="CO38" i="7" s="1"/>
  <c r="CP38" i="7" s="1"/>
  <c r="CQ38" i="7" s="1"/>
  <c r="DB38" i="7"/>
  <c r="DC38" i="7" s="1"/>
  <c r="DD38" i="7" s="1"/>
  <c r="DE38" i="7" s="1"/>
  <c r="II46" i="7"/>
  <c r="IH46" i="7"/>
  <c r="HH46" i="7"/>
  <c r="HI47" i="7"/>
  <c r="HJ47" i="7" s="1"/>
  <c r="HK47" i="7" s="1"/>
  <c r="HZ45" i="7"/>
  <c r="GX45" i="7"/>
  <c r="HE45" i="7"/>
  <c r="GU44" i="7"/>
  <c r="HS45" i="7"/>
  <c r="HL45" i="7"/>
  <c r="ID47" i="7"/>
  <c r="IE47" i="7" s="1"/>
  <c r="IF47" i="7" s="1"/>
  <c r="IC46" i="7"/>
  <c r="HO46" i="7"/>
  <c r="HP47" i="7"/>
  <c r="HQ47" i="7" s="1"/>
  <c r="HR47" i="7" s="1"/>
  <c r="EH14" i="7"/>
  <c r="EL13" i="7"/>
  <c r="EM13" i="7" s="1"/>
  <c r="EI44" i="7"/>
  <c r="EJ44" i="7" s="1"/>
  <c r="EK44" i="7" s="1"/>
  <c r="EH43" i="7"/>
  <c r="HV47" i="7"/>
  <c r="HW47" i="7" s="1"/>
  <c r="HX47" i="7" s="1"/>
  <c r="HY47" i="7" s="1"/>
  <c r="FU43" i="7"/>
  <c r="FV43" i="7" s="1"/>
  <c r="FW43" i="7" s="1"/>
  <c r="FG43" i="7"/>
  <c r="FH43" i="7" s="1"/>
  <c r="FI43" i="7" s="1"/>
  <c r="EL43" i="7"/>
  <c r="EM43" i="7" s="1"/>
  <c r="EN43" i="7" s="1"/>
  <c r="GB43" i="7"/>
  <c r="GC43" i="7" s="1"/>
  <c r="GD43" i="7" s="1"/>
  <c r="FN43" i="7"/>
  <c r="FO43" i="7" s="1"/>
  <c r="FP43" i="7" s="1"/>
  <c r="ES43" i="7"/>
  <c r="ET43" i="7" s="1"/>
  <c r="EU43" i="7" s="1"/>
  <c r="EZ43" i="7"/>
  <c r="FA43" i="7" s="1"/>
  <c r="FB43" i="7" s="1"/>
  <c r="EB42" i="7"/>
  <c r="EE42" i="7" s="1"/>
  <c r="EF42" i="7" s="1"/>
  <c r="EG42" i="7" s="1"/>
  <c r="HU46" i="7"/>
  <c r="HA46" i="7"/>
  <c r="HB46" i="7" s="1"/>
  <c r="HC46" i="7" s="1"/>
  <c r="HD46" i="7" s="1"/>
  <c r="EP45" i="7"/>
  <c r="EQ45" i="7" s="1"/>
  <c r="ER45" i="7" s="1"/>
  <c r="EO44" i="7"/>
  <c r="FD45" i="7"/>
  <c r="FE45" i="7" s="1"/>
  <c r="FF45" i="7" s="1"/>
  <c r="FC44" i="7"/>
  <c r="FY45" i="7"/>
  <c r="FZ45" i="7" s="1"/>
  <c r="GA45" i="7" s="1"/>
  <c r="FX44" i="7"/>
  <c r="GZ45" i="7"/>
  <c r="GF45" i="7"/>
  <c r="GG45" i="7" s="1"/>
  <c r="GH45" i="7" s="1"/>
  <c r="GE44" i="7"/>
  <c r="FR45" i="7"/>
  <c r="FS45" i="7" s="1"/>
  <c r="FT45" i="7" s="1"/>
  <c r="FQ44" i="7"/>
  <c r="EW45" i="7"/>
  <c r="EX45" i="7" s="1"/>
  <c r="EY45" i="7" s="1"/>
  <c r="EV44" i="7"/>
  <c r="FK45" i="7"/>
  <c r="FL45" i="7" s="1"/>
  <c r="FM45" i="7" s="1"/>
  <c r="FJ44" i="7"/>
  <c r="GN25" i="7"/>
  <c r="GO24" i="7"/>
  <c r="DV24" i="7"/>
  <c r="DU25" i="7"/>
  <c r="H80" i="4" l="1"/>
  <c r="H83" i="4"/>
  <c r="H133" i="4"/>
  <c r="H60" i="4"/>
  <c r="H36" i="4"/>
  <c r="H49" i="4"/>
  <c r="H74" i="4"/>
  <c r="JC91" i="7"/>
  <c r="KG91" i="7"/>
  <c r="JJ91" i="7"/>
  <c r="JV91" i="7"/>
  <c r="KF91" i="7"/>
  <c r="IT91" i="7"/>
  <c r="KM90" i="7"/>
  <c r="KN90" i="7" s="1"/>
  <c r="IN90" i="7" s="1"/>
  <c r="BX70" i="7" s="1"/>
  <c r="BY70" i="7" s="1"/>
  <c r="AK70" i="7" s="1"/>
  <c r="JZ91" i="7"/>
  <c r="E71" i="7" s="1"/>
  <c r="J71" i="7" s="1"/>
  <c r="O71" i="7" s="1"/>
  <c r="JK91" i="7"/>
  <c r="IU91" i="7"/>
  <c r="JR91" i="7"/>
  <c r="JB91" i="7"/>
  <c r="JS90" i="7"/>
  <c r="JT90" i="7" s="1"/>
  <c r="KH90" i="7"/>
  <c r="KB90" i="7"/>
  <c r="KC90" i="7" s="1"/>
  <c r="JO91" i="7"/>
  <c r="JG91" i="7"/>
  <c r="IY91" i="7"/>
  <c r="KL91" i="7"/>
  <c r="JY91" i="7"/>
  <c r="D71" i="7" s="1"/>
  <c r="I71" i="7" s="1"/>
  <c r="N71" i="7" s="1"/>
  <c r="JN91" i="7"/>
  <c r="JF91" i="7"/>
  <c r="KI91" i="7"/>
  <c r="KK91" i="7"/>
  <c r="JX91" i="7"/>
  <c r="C71" i="7" s="1"/>
  <c r="H71" i="7" s="1"/>
  <c r="M71" i="7" s="1"/>
  <c r="JM91" i="7"/>
  <c r="JE91" i="7"/>
  <c r="IW91" i="7"/>
  <c r="KJ91" i="7"/>
  <c r="JW91" i="7"/>
  <c r="B71" i="7" s="1"/>
  <c r="G71" i="7" s="1"/>
  <c r="L71" i="7" s="1"/>
  <c r="JL91" i="7"/>
  <c r="JD91" i="7"/>
  <c r="IV91" i="7"/>
  <c r="KE91" i="7"/>
  <c r="JQ91" i="7"/>
  <c r="JI91" i="7"/>
  <c r="JA91" i="7"/>
  <c r="IS91" i="7"/>
  <c r="KA91" i="7"/>
  <c r="F71" i="7" s="1"/>
  <c r="K71" i="7" s="1"/>
  <c r="P71" i="7" s="1"/>
  <c r="JP91" i="7"/>
  <c r="JH91" i="7"/>
  <c r="IZ91" i="7"/>
  <c r="AL121" i="7"/>
  <c r="AI120" i="7"/>
  <c r="AI134" i="7"/>
  <c r="BC119" i="7"/>
  <c r="AI39" i="7" s="1"/>
  <c r="BI19" i="7" s="1"/>
  <c r="CU37" i="7"/>
  <c r="CV37" i="7" s="1"/>
  <c r="CW37" i="7" s="1"/>
  <c r="CX37" i="7" s="1"/>
  <c r="DI37" i="7"/>
  <c r="DJ37" i="7" s="1"/>
  <c r="DK37" i="7" s="1"/>
  <c r="DL37" i="7" s="1"/>
  <c r="CN37" i="7"/>
  <c r="CO37" i="7" s="1"/>
  <c r="CP37" i="7" s="1"/>
  <c r="CQ37" i="7" s="1"/>
  <c r="DB37" i="7"/>
  <c r="DC37" i="7" s="1"/>
  <c r="DD37" i="7" s="1"/>
  <c r="DE37" i="7" s="1"/>
  <c r="CK36" i="7"/>
  <c r="ID46" i="7"/>
  <c r="IE46" i="7" s="1"/>
  <c r="IF46" i="7" s="1"/>
  <c r="IC45" i="7"/>
  <c r="HH45" i="7"/>
  <c r="HI46" i="7"/>
  <c r="HJ46" i="7" s="1"/>
  <c r="HK46" i="7" s="1"/>
  <c r="HP46" i="7"/>
  <c r="HQ46" i="7" s="1"/>
  <c r="HR46" i="7" s="1"/>
  <c r="HO45" i="7"/>
  <c r="HZ44" i="7"/>
  <c r="HS44" i="7"/>
  <c r="HE44" i="7"/>
  <c r="HL44" i="7"/>
  <c r="GX44" i="7"/>
  <c r="GU43" i="7"/>
  <c r="EH15" i="7"/>
  <c r="EL14" i="7"/>
  <c r="EM14" i="7" s="1"/>
  <c r="EH42" i="7"/>
  <c r="EI42" i="7" s="1"/>
  <c r="EJ42" i="7" s="1"/>
  <c r="EK42" i="7" s="1"/>
  <c r="EI43" i="7"/>
  <c r="EJ43" i="7" s="1"/>
  <c r="EK43" i="7" s="1"/>
  <c r="HV46" i="7"/>
  <c r="HW46" i="7" s="1"/>
  <c r="HX46" i="7" s="1"/>
  <c r="HY46" i="7" s="1"/>
  <c r="FK44" i="7"/>
  <c r="FL44" i="7" s="1"/>
  <c r="FM44" i="7" s="1"/>
  <c r="FJ43" i="7"/>
  <c r="EV43" i="7"/>
  <c r="EW44" i="7"/>
  <c r="EX44" i="7" s="1"/>
  <c r="EY44" i="7" s="1"/>
  <c r="FQ43" i="7"/>
  <c r="FR44" i="7"/>
  <c r="FS44" i="7" s="1"/>
  <c r="FT44" i="7" s="1"/>
  <c r="GZ44" i="7"/>
  <c r="GE43" i="7"/>
  <c r="GF44" i="7"/>
  <c r="GG44" i="7" s="1"/>
  <c r="GH44" i="7" s="1"/>
  <c r="HA45" i="7"/>
  <c r="HB45" i="7" s="1"/>
  <c r="HC45" i="7" s="1"/>
  <c r="HD45" i="7" s="1"/>
  <c r="HU45" i="7"/>
  <c r="GB42" i="7"/>
  <c r="GC42" i="7" s="1"/>
  <c r="GD42" i="7" s="1"/>
  <c r="FN42" i="7"/>
  <c r="FO42" i="7" s="1"/>
  <c r="FP42" i="7" s="1"/>
  <c r="EL42" i="7"/>
  <c r="EM42" i="7" s="1"/>
  <c r="EN42" i="7" s="1"/>
  <c r="FG42" i="7"/>
  <c r="FH42" i="7" s="1"/>
  <c r="FI42" i="7" s="1"/>
  <c r="EB41" i="7"/>
  <c r="EE41" i="7" s="1"/>
  <c r="EF41" i="7" s="1"/>
  <c r="EG41" i="7" s="1"/>
  <c r="FU42" i="7"/>
  <c r="FV42" i="7" s="1"/>
  <c r="FW42" i="7" s="1"/>
  <c r="ES42" i="7"/>
  <c r="ET42" i="7" s="1"/>
  <c r="EU42" i="7" s="1"/>
  <c r="EZ42" i="7"/>
  <c r="FA42" i="7" s="1"/>
  <c r="FB42" i="7" s="1"/>
  <c r="FX43" i="7"/>
  <c r="FY44" i="7"/>
  <c r="FZ44" i="7" s="1"/>
  <c r="GA44" i="7" s="1"/>
  <c r="FC43" i="7"/>
  <c r="FD44" i="7"/>
  <c r="FE44" i="7" s="1"/>
  <c r="FF44" i="7" s="1"/>
  <c r="EP44" i="7"/>
  <c r="EQ44" i="7" s="1"/>
  <c r="ER44" i="7" s="1"/>
  <c r="EO43" i="7"/>
  <c r="GN26" i="7"/>
  <c r="GO25" i="7"/>
  <c r="DU26" i="7"/>
  <c r="DV25" i="7"/>
  <c r="H73" i="4" l="1"/>
  <c r="H50" i="4"/>
  <c r="H37" i="4"/>
  <c r="H59" i="4"/>
  <c r="H134" i="4"/>
  <c r="KH91" i="7"/>
  <c r="KB91" i="7"/>
  <c r="KC91" i="7" s="1"/>
  <c r="KM91" i="7"/>
  <c r="KN91" i="7" s="1"/>
  <c r="IN91" i="7" s="1"/>
  <c r="BX71" i="7" s="1"/>
  <c r="BY71" i="7" s="1"/>
  <c r="AK71" i="7" s="1"/>
  <c r="JS91" i="7"/>
  <c r="JT91" i="7" s="1"/>
  <c r="AL122" i="7"/>
  <c r="AI121" i="7"/>
  <c r="AI135" i="7"/>
  <c r="BC120" i="7"/>
  <c r="AI40" i="7" s="1"/>
  <c r="BI20" i="7" s="1"/>
  <c r="DB36" i="7"/>
  <c r="DI36" i="7"/>
  <c r="CN36" i="7"/>
  <c r="CU36" i="7"/>
  <c r="CR41" i="7"/>
  <c r="CS41" i="7" s="1"/>
  <c r="CT41" i="7" s="1"/>
  <c r="EH41" i="7"/>
  <c r="EI41" i="7" s="1"/>
  <c r="EJ41" i="7" s="1"/>
  <c r="EK41" i="7" s="1"/>
  <c r="HZ43" i="7"/>
  <c r="IA43" i="7" s="1"/>
  <c r="IB43" i="7" s="1"/>
  <c r="HS43" i="7"/>
  <c r="HT43" i="7" s="1"/>
  <c r="HE43" i="7"/>
  <c r="HF43" i="7" s="1"/>
  <c r="HG43" i="7" s="1"/>
  <c r="GX43" i="7"/>
  <c r="GY43" i="7" s="1"/>
  <c r="HL43" i="7"/>
  <c r="HM43" i="7" s="1"/>
  <c r="HN43" i="7" s="1"/>
  <c r="GU42" i="7"/>
  <c r="HP45" i="7"/>
  <c r="HQ45" i="7" s="1"/>
  <c r="HR45" i="7" s="1"/>
  <c r="HO44" i="7"/>
  <c r="HI45" i="7"/>
  <c r="HJ45" i="7" s="1"/>
  <c r="HK45" i="7" s="1"/>
  <c r="HH44" i="7"/>
  <c r="IC44" i="7"/>
  <c r="ID45" i="7"/>
  <c r="IE45" i="7" s="1"/>
  <c r="IF45" i="7" s="1"/>
  <c r="EH16" i="7"/>
  <c r="EL15" i="7"/>
  <c r="EM15" i="7" s="1"/>
  <c r="HV45" i="7"/>
  <c r="HW45" i="7" s="1"/>
  <c r="HX45" i="7" s="1"/>
  <c r="HY45" i="7" s="1"/>
  <c r="EP43" i="7"/>
  <c r="EQ43" i="7" s="1"/>
  <c r="ER43" i="7" s="1"/>
  <c r="EO42" i="7"/>
  <c r="EP42" i="7" s="1"/>
  <c r="HA44" i="7"/>
  <c r="HB44" i="7" s="1"/>
  <c r="HC44" i="7" s="1"/>
  <c r="HD44" i="7" s="1"/>
  <c r="HU44" i="7"/>
  <c r="FR43" i="7"/>
  <c r="FS43" i="7" s="1"/>
  <c r="FT43" i="7" s="1"/>
  <c r="FQ42" i="7"/>
  <c r="FR42" i="7" s="1"/>
  <c r="FS42" i="7" s="1"/>
  <c r="FT42" i="7" s="1"/>
  <c r="EW43" i="7"/>
  <c r="EX43" i="7" s="1"/>
  <c r="EY43" i="7" s="1"/>
  <c r="EV42" i="7"/>
  <c r="EW42" i="7" s="1"/>
  <c r="EX42" i="7" s="1"/>
  <c r="EY42" i="7" s="1"/>
  <c r="FD43" i="7"/>
  <c r="FE43" i="7" s="1"/>
  <c r="FF43" i="7" s="1"/>
  <c r="FC42" i="7"/>
  <c r="FD42" i="7" s="1"/>
  <c r="FE42" i="7" s="1"/>
  <c r="FF42" i="7" s="1"/>
  <c r="FY43" i="7"/>
  <c r="FZ43" i="7" s="1"/>
  <c r="GA43" i="7" s="1"/>
  <c r="FX42" i="7"/>
  <c r="FY42" i="7" s="1"/>
  <c r="FZ42" i="7" s="1"/>
  <c r="GA42" i="7" s="1"/>
  <c r="FN41" i="7"/>
  <c r="FO41" i="7" s="1"/>
  <c r="FP41" i="7" s="1"/>
  <c r="EZ41" i="7"/>
  <c r="FA41" i="7" s="1"/>
  <c r="FB41" i="7" s="1"/>
  <c r="FC41" i="7" s="1"/>
  <c r="FD41" i="7" s="1"/>
  <c r="FE41" i="7" s="1"/>
  <c r="FF41" i="7" s="1"/>
  <c r="ES41" i="7"/>
  <c r="ET41" i="7" s="1"/>
  <c r="EU41" i="7" s="1"/>
  <c r="EB40" i="7"/>
  <c r="EE40" i="7" s="1"/>
  <c r="EF40" i="7" s="1"/>
  <c r="EG40" i="7" s="1"/>
  <c r="FU41" i="7"/>
  <c r="FV41" i="7" s="1"/>
  <c r="FW41" i="7" s="1"/>
  <c r="FG41" i="7"/>
  <c r="FH41" i="7" s="1"/>
  <c r="FI41" i="7" s="1"/>
  <c r="GB41" i="7"/>
  <c r="GC41" i="7" s="1"/>
  <c r="GD41" i="7" s="1"/>
  <c r="EL41" i="7"/>
  <c r="EM41" i="7" s="1"/>
  <c r="EN41" i="7" s="1"/>
  <c r="GZ43" i="7"/>
  <c r="GF43" i="7"/>
  <c r="GG43" i="7" s="1"/>
  <c r="GH43" i="7" s="1"/>
  <c r="GE42" i="7"/>
  <c r="FK43" i="7"/>
  <c r="FL43" i="7" s="1"/>
  <c r="FM43" i="7" s="1"/>
  <c r="FJ42" i="7"/>
  <c r="FK42" i="7" s="1"/>
  <c r="FL42" i="7" s="1"/>
  <c r="FM42" i="7" s="1"/>
  <c r="EQ42" i="7"/>
  <c r="ER42" i="7" s="1"/>
  <c r="GN27" i="7"/>
  <c r="GO26" i="7"/>
  <c r="DV26" i="7"/>
  <c r="DU27" i="7"/>
  <c r="EO41" i="7" l="1"/>
  <c r="EP41" i="7" s="1"/>
  <c r="EQ41" i="7" s="1"/>
  <c r="ER41" i="7" s="1"/>
  <c r="H58" i="4"/>
  <c r="H38" i="4"/>
  <c r="H51" i="4"/>
  <c r="H72" i="4"/>
  <c r="AL123" i="7"/>
  <c r="AL124" i="7" s="1"/>
  <c r="AL125" i="7" s="1"/>
  <c r="AL126" i="7" s="1"/>
  <c r="AI122" i="7"/>
  <c r="AI136" i="7"/>
  <c r="BC121" i="7"/>
  <c r="AI41" i="7" s="1"/>
  <c r="BI21" i="7" s="1"/>
  <c r="II43" i="7"/>
  <c r="IH43" i="7"/>
  <c r="CO36" i="7"/>
  <c r="CP36" i="7" s="1"/>
  <c r="CQ36" i="7" s="1"/>
  <c r="CN48" i="7"/>
  <c r="CN49" i="7" s="1"/>
  <c r="DC36" i="7"/>
  <c r="DD36" i="7" s="1"/>
  <c r="DE36" i="7" s="1"/>
  <c r="DB48" i="7"/>
  <c r="DB49" i="7" s="1"/>
  <c r="DM39" i="7" s="1"/>
  <c r="DN39" i="7" s="1"/>
  <c r="DO39" i="7" s="1"/>
  <c r="CV36" i="7"/>
  <c r="CW36" i="7" s="1"/>
  <c r="CX36" i="7" s="1"/>
  <c r="CY36" i="7" s="1"/>
  <c r="CZ36" i="7" s="1"/>
  <c r="CU48" i="7"/>
  <c r="CU49" i="7" s="1"/>
  <c r="DJ36" i="7"/>
  <c r="DK36" i="7" s="1"/>
  <c r="DL36" i="7" s="1"/>
  <c r="DM36" i="7" s="1"/>
  <c r="DN36" i="7" s="1"/>
  <c r="DO36" i="7" s="1"/>
  <c r="DI48" i="7"/>
  <c r="DI49" i="7" s="1"/>
  <c r="DI50" i="7" s="1"/>
  <c r="EH40" i="7"/>
  <c r="EI40" i="7" s="1"/>
  <c r="EJ40" i="7" s="1"/>
  <c r="EK40" i="7" s="1"/>
  <c r="IC43" i="7"/>
  <c r="ID44" i="7"/>
  <c r="IE44" i="7" s="1"/>
  <c r="IF44" i="7" s="1"/>
  <c r="HI44" i="7"/>
  <c r="HJ44" i="7" s="1"/>
  <c r="HK44" i="7" s="1"/>
  <c r="HH43" i="7"/>
  <c r="HP44" i="7"/>
  <c r="HQ44" i="7" s="1"/>
  <c r="HR44" i="7" s="1"/>
  <c r="HO43" i="7"/>
  <c r="HZ42" i="7"/>
  <c r="IA42" i="7" s="1"/>
  <c r="IB42" i="7" s="1"/>
  <c r="GX42" i="7"/>
  <c r="GY42" i="7" s="1"/>
  <c r="GZ42" i="7" s="1"/>
  <c r="HE42" i="7"/>
  <c r="HF42" i="7" s="1"/>
  <c r="HG42" i="7" s="1"/>
  <c r="GU41" i="7"/>
  <c r="HS42" i="7"/>
  <c r="HT42" i="7" s="1"/>
  <c r="HL42" i="7"/>
  <c r="HM42" i="7" s="1"/>
  <c r="HN42" i="7" s="1"/>
  <c r="EH17" i="7"/>
  <c r="EL16" i="7"/>
  <c r="EM16" i="7" s="1"/>
  <c r="FX41" i="7"/>
  <c r="HV44" i="7"/>
  <c r="HW44" i="7" s="1"/>
  <c r="HX44" i="7" s="1"/>
  <c r="HY44" i="7" s="1"/>
  <c r="EV41" i="7"/>
  <c r="EW41" i="7" s="1"/>
  <c r="EX41" i="7" s="1"/>
  <c r="EY41" i="7" s="1"/>
  <c r="FQ41" i="7"/>
  <c r="FR41" i="7" s="1"/>
  <c r="FS41" i="7" s="1"/>
  <c r="FT41" i="7" s="1"/>
  <c r="HU43" i="7"/>
  <c r="HA43" i="7"/>
  <c r="HB43" i="7" s="1"/>
  <c r="HC43" i="7" s="1"/>
  <c r="HD43" i="7" s="1"/>
  <c r="GE41" i="7"/>
  <c r="ES40" i="7"/>
  <c r="ET40" i="7" s="1"/>
  <c r="EU40" i="7" s="1"/>
  <c r="FN40" i="7"/>
  <c r="FO40" i="7" s="1"/>
  <c r="FP40" i="7" s="1"/>
  <c r="EZ40" i="7"/>
  <c r="FA40" i="7" s="1"/>
  <c r="FB40" i="7" s="1"/>
  <c r="FC40" i="7" s="1"/>
  <c r="FD40" i="7" s="1"/>
  <c r="FE40" i="7" s="1"/>
  <c r="FF40" i="7" s="1"/>
  <c r="GB40" i="7"/>
  <c r="GC40" i="7" s="1"/>
  <c r="GD40" i="7" s="1"/>
  <c r="GE40" i="7" s="1"/>
  <c r="EL40" i="7"/>
  <c r="EM40" i="7" s="1"/>
  <c r="EN40" i="7" s="1"/>
  <c r="EO40" i="7" s="1"/>
  <c r="EP40" i="7" s="1"/>
  <c r="EQ40" i="7" s="1"/>
  <c r="ER40" i="7" s="1"/>
  <c r="FU40" i="7"/>
  <c r="FV40" i="7" s="1"/>
  <c r="FW40" i="7" s="1"/>
  <c r="FX40" i="7" s="1"/>
  <c r="FG40" i="7"/>
  <c r="FH40" i="7" s="1"/>
  <c r="FI40" i="7" s="1"/>
  <c r="EB39" i="7"/>
  <c r="EE39" i="7" s="1"/>
  <c r="EF39" i="7" s="1"/>
  <c r="EG39" i="7" s="1"/>
  <c r="FJ41" i="7"/>
  <c r="FK41" i="7" s="1"/>
  <c r="FL41" i="7" s="1"/>
  <c r="FM41" i="7" s="1"/>
  <c r="DV27" i="7"/>
  <c r="DU28" i="7"/>
  <c r="DV28" i="7" s="1"/>
  <c r="GN28" i="7"/>
  <c r="GO28" i="7" s="1"/>
  <c r="GO27" i="7"/>
  <c r="H71" i="4" l="1"/>
  <c r="H52" i="4"/>
  <c r="H39" i="4"/>
  <c r="CR36" i="7"/>
  <c r="CS36" i="7" s="1"/>
  <c r="DM37" i="7"/>
  <c r="DN37" i="7" s="1"/>
  <c r="DO37" i="7" s="1"/>
  <c r="DM38" i="7"/>
  <c r="DN38" i="7" s="1"/>
  <c r="DO38" i="7" s="1"/>
  <c r="CY38" i="7"/>
  <c r="CZ38" i="7" s="1"/>
  <c r="DA38" i="7" s="1"/>
  <c r="CY40" i="7"/>
  <c r="CZ40" i="7" s="1"/>
  <c r="DA40" i="7" s="1"/>
  <c r="DM43" i="7"/>
  <c r="DN43" i="7" s="1"/>
  <c r="DO43" i="7" s="1"/>
  <c r="DF38" i="7"/>
  <c r="DG38" i="7" s="1"/>
  <c r="DH38" i="7" s="1"/>
  <c r="CR37" i="7"/>
  <c r="CS37" i="7" s="1"/>
  <c r="CT37" i="7" s="1"/>
  <c r="CR39" i="7"/>
  <c r="CS39" i="7" s="1"/>
  <c r="CT39" i="7" s="1"/>
  <c r="DF36" i="7"/>
  <c r="DG36" i="7" s="1"/>
  <c r="AI137" i="7"/>
  <c r="BC122" i="7"/>
  <c r="AI42" i="7" s="1"/>
  <c r="BI22" i="7" s="1"/>
  <c r="DF37" i="7"/>
  <c r="DG37" i="7" s="1"/>
  <c r="DH37" i="7" s="1"/>
  <c r="DM41" i="7"/>
  <c r="DN41" i="7" s="1"/>
  <c r="DO41" i="7" s="1"/>
  <c r="DA36" i="7"/>
  <c r="DH36" i="7"/>
  <c r="CT36" i="7"/>
  <c r="CY37" i="7"/>
  <c r="CZ37" i="7" s="1"/>
  <c r="DA37" i="7" s="1"/>
  <c r="CY39" i="7"/>
  <c r="CZ39" i="7" s="1"/>
  <c r="DA39" i="7" s="1"/>
  <c r="CU50" i="7"/>
  <c r="DM40" i="7"/>
  <c r="DN40" i="7" s="1"/>
  <c r="DM42" i="7"/>
  <c r="DN42" i="7" s="1"/>
  <c r="DO42" i="7" s="1"/>
  <c r="DB50" i="7"/>
  <c r="CN50" i="7"/>
  <c r="CR38" i="7"/>
  <c r="CS38" i="7" s="1"/>
  <c r="CT38" i="7" s="1"/>
  <c r="II42" i="7"/>
  <c r="IH42" i="7"/>
  <c r="EH39" i="7"/>
  <c r="EI39" i="7" s="1"/>
  <c r="EJ39" i="7" s="1"/>
  <c r="EK39" i="7" s="1"/>
  <c r="HS41" i="7"/>
  <c r="HT41" i="7" s="1"/>
  <c r="HL41" i="7"/>
  <c r="HM41" i="7" s="1"/>
  <c r="HN41" i="7" s="1"/>
  <c r="GU40" i="7"/>
  <c r="HZ41" i="7"/>
  <c r="IA41" i="7" s="1"/>
  <c r="IB41" i="7" s="1"/>
  <c r="HE41" i="7"/>
  <c r="HF41" i="7" s="1"/>
  <c r="HG41" i="7" s="1"/>
  <c r="GX41" i="7"/>
  <c r="GY41" i="7" s="1"/>
  <c r="GZ41" i="7" s="1"/>
  <c r="HP43" i="7"/>
  <c r="HQ43" i="7" s="1"/>
  <c r="HR43" i="7" s="1"/>
  <c r="HO42" i="7"/>
  <c r="HP42" i="7" s="1"/>
  <c r="HQ42" i="7" s="1"/>
  <c r="HR42" i="7" s="1"/>
  <c r="HI43" i="7"/>
  <c r="HJ43" i="7" s="1"/>
  <c r="HK43" i="7" s="1"/>
  <c r="HH42" i="7"/>
  <c r="HI42" i="7" s="1"/>
  <c r="HJ42" i="7" s="1"/>
  <c r="HK42" i="7" s="1"/>
  <c r="ID43" i="7"/>
  <c r="IE43" i="7" s="1"/>
  <c r="IF43" i="7" s="1"/>
  <c r="IC42" i="7"/>
  <c r="ID42" i="7" s="1"/>
  <c r="IE42" i="7" s="1"/>
  <c r="IF42" i="7" s="1"/>
  <c r="EH18" i="7"/>
  <c r="EL17" i="7"/>
  <c r="EM17" i="7" s="1"/>
  <c r="EM26" i="7" s="1"/>
  <c r="EV40" i="7"/>
  <c r="EW40" i="7" s="1"/>
  <c r="EX40" i="7" s="1"/>
  <c r="EY40" i="7" s="1"/>
  <c r="FQ40" i="7"/>
  <c r="HV43" i="7"/>
  <c r="HW43" i="7" s="1"/>
  <c r="HX43" i="7" s="1"/>
  <c r="HY43" i="7" s="1"/>
  <c r="HA42" i="7"/>
  <c r="HB42" i="7" s="1"/>
  <c r="HC42" i="7" s="1"/>
  <c r="HD42" i="7" s="1"/>
  <c r="FU39" i="7"/>
  <c r="FV39" i="7" s="1"/>
  <c r="FW39" i="7" s="1"/>
  <c r="FX39" i="7" s="1"/>
  <c r="EZ39" i="7"/>
  <c r="FA39" i="7" s="1"/>
  <c r="FB39" i="7" s="1"/>
  <c r="FC39" i="7" s="1"/>
  <c r="FG39" i="7"/>
  <c r="FH39" i="7" s="1"/>
  <c r="FI39" i="7" s="1"/>
  <c r="EL39" i="7"/>
  <c r="EM39" i="7" s="1"/>
  <c r="EN39" i="7" s="1"/>
  <c r="EO39" i="7" s="1"/>
  <c r="EP39" i="7" s="1"/>
  <c r="EQ39" i="7" s="1"/>
  <c r="ER39" i="7" s="1"/>
  <c r="EB38" i="7"/>
  <c r="EE38" i="7" s="1"/>
  <c r="EF38" i="7" s="1"/>
  <c r="EG38" i="7" s="1"/>
  <c r="FN39" i="7"/>
  <c r="FO39" i="7" s="1"/>
  <c r="FP39" i="7" s="1"/>
  <c r="FQ39" i="7" s="1"/>
  <c r="GB39" i="7"/>
  <c r="GC39" i="7" s="1"/>
  <c r="GD39" i="7" s="1"/>
  <c r="GE39" i="7" s="1"/>
  <c r="ES39" i="7"/>
  <c r="ET39" i="7" s="1"/>
  <c r="EU39" i="7" s="1"/>
  <c r="HU42" i="7"/>
  <c r="FJ40" i="7"/>
  <c r="FK40" i="7" s="1"/>
  <c r="FL40" i="7" s="1"/>
  <c r="FM40" i="7" s="1"/>
  <c r="H40" i="4" l="1"/>
  <c r="H53" i="4"/>
  <c r="H70" i="4"/>
  <c r="DG48" i="7"/>
  <c r="DG49" i="7" s="1"/>
  <c r="DH48" i="7"/>
  <c r="EH38" i="7"/>
  <c r="EI38" i="7" s="1"/>
  <c r="EJ38" i="7" s="1"/>
  <c r="EK38" i="7" s="1"/>
  <c r="EN26" i="7"/>
  <c r="EN28" i="7" s="1"/>
  <c r="CW92" i="7" s="1"/>
  <c r="BQ92" i="7" s="1"/>
  <c r="BR92" i="7" s="1"/>
  <c r="BP92" i="7" s="1"/>
  <c r="EM28" i="7"/>
  <c r="DG50" i="7"/>
  <c r="CT48" i="7"/>
  <c r="DA48" i="7"/>
  <c r="DO40" i="7"/>
  <c r="DO48" i="7" s="1"/>
  <c r="DN48" i="7"/>
  <c r="DN49" i="7" s="1"/>
  <c r="CS48" i="7"/>
  <c r="CS49" i="7" s="1"/>
  <c r="CZ48" i="7"/>
  <c r="CZ49" i="7" s="1"/>
  <c r="EV39" i="7"/>
  <c r="EW39" i="7" s="1"/>
  <c r="EX39" i="7" s="1"/>
  <c r="EY39" i="7" s="1"/>
  <c r="II41" i="7"/>
  <c r="IH41" i="7"/>
  <c r="HH41" i="7"/>
  <c r="HI41" i="7" s="1"/>
  <c r="HJ41" i="7" s="1"/>
  <c r="HK41" i="7" s="1"/>
  <c r="HS40" i="7"/>
  <c r="HT40" i="7" s="1"/>
  <c r="HU40" i="7" s="1"/>
  <c r="HE40" i="7"/>
  <c r="HF40" i="7" s="1"/>
  <c r="HG40" i="7" s="1"/>
  <c r="GU39" i="7"/>
  <c r="HZ40" i="7"/>
  <c r="IA40" i="7" s="1"/>
  <c r="IB40" i="7" s="1"/>
  <c r="GX40" i="7"/>
  <c r="GY40" i="7" s="1"/>
  <c r="GZ40" i="7" s="1"/>
  <c r="HL40" i="7"/>
  <c r="HM40" i="7" s="1"/>
  <c r="HN40" i="7" s="1"/>
  <c r="IC41" i="7"/>
  <c r="ID41" i="7" s="1"/>
  <c r="IE41" i="7" s="1"/>
  <c r="IF41" i="7" s="1"/>
  <c r="HO41" i="7"/>
  <c r="HP41" i="7" s="1"/>
  <c r="HQ41" i="7" s="1"/>
  <c r="HR41" i="7" s="1"/>
  <c r="EH19" i="7"/>
  <c r="EL18" i="7"/>
  <c r="HV42" i="7"/>
  <c r="HW42" i="7" s="1"/>
  <c r="HX42" i="7" s="1"/>
  <c r="HY42" i="7" s="1"/>
  <c r="FG38" i="7"/>
  <c r="FH38" i="7" s="1"/>
  <c r="FI38" i="7" s="1"/>
  <c r="EL38" i="7"/>
  <c r="EM38" i="7" s="1"/>
  <c r="EN38" i="7" s="1"/>
  <c r="EO38" i="7" s="1"/>
  <c r="EP38" i="7" s="1"/>
  <c r="EQ38" i="7" s="1"/>
  <c r="ER38" i="7" s="1"/>
  <c r="FU38" i="7"/>
  <c r="FV38" i="7" s="1"/>
  <c r="FW38" i="7" s="1"/>
  <c r="FX38" i="7" s="1"/>
  <c r="EZ38" i="7"/>
  <c r="FA38" i="7" s="1"/>
  <c r="FB38" i="7" s="1"/>
  <c r="FC38" i="7" s="1"/>
  <c r="GB38" i="7"/>
  <c r="GC38" i="7" s="1"/>
  <c r="GD38" i="7" s="1"/>
  <c r="GE38" i="7" s="1"/>
  <c r="ES38" i="7"/>
  <c r="ET38" i="7" s="1"/>
  <c r="EU38" i="7" s="1"/>
  <c r="FN38" i="7"/>
  <c r="FO38" i="7" s="1"/>
  <c r="FP38" i="7" s="1"/>
  <c r="FQ38" i="7" s="1"/>
  <c r="EB37" i="7"/>
  <c r="FJ39" i="7"/>
  <c r="HU41" i="7"/>
  <c r="HA41" i="7"/>
  <c r="HB41" i="7" s="1"/>
  <c r="HC41" i="7" s="1"/>
  <c r="HD41" i="7" s="1"/>
  <c r="H69" i="4" l="1"/>
  <c r="H54" i="4"/>
  <c r="H41" i="4"/>
  <c r="AI92" i="7"/>
  <c r="H120" i="4" s="1"/>
  <c r="IK112" i="7"/>
  <c r="DG51" i="7"/>
  <c r="DH49" i="7"/>
  <c r="CQ61" i="7" s="1"/>
  <c r="CT61" i="7" s="1"/>
  <c r="DN50" i="7"/>
  <c r="DN51" i="7" s="1"/>
  <c r="DO49" i="7"/>
  <c r="CS50" i="7"/>
  <c r="CS51" i="7" s="1"/>
  <c r="CT49" i="7"/>
  <c r="CZ50" i="7"/>
  <c r="CZ51" i="7" s="1"/>
  <c r="DA49" i="7"/>
  <c r="EV38" i="7"/>
  <c r="IC40" i="7"/>
  <c r="ID40" i="7" s="1"/>
  <c r="IE40" i="7" s="1"/>
  <c r="IF40" i="7" s="1"/>
  <c r="II40" i="7"/>
  <c r="IH40" i="7"/>
  <c r="HH40" i="7"/>
  <c r="HI40" i="7" s="1"/>
  <c r="HJ40" i="7" s="1"/>
  <c r="HK40" i="7" s="1"/>
  <c r="HO40" i="7"/>
  <c r="HP40" i="7" s="1"/>
  <c r="HQ40" i="7" s="1"/>
  <c r="HR40" i="7" s="1"/>
  <c r="GX39" i="7"/>
  <c r="GY39" i="7" s="1"/>
  <c r="GZ39" i="7" s="1"/>
  <c r="HL39" i="7"/>
  <c r="HM39" i="7" s="1"/>
  <c r="HN39" i="7" s="1"/>
  <c r="HE39" i="7"/>
  <c r="HF39" i="7" s="1"/>
  <c r="HG39" i="7" s="1"/>
  <c r="HZ39" i="7"/>
  <c r="IA39" i="7" s="1"/>
  <c r="IB39" i="7" s="1"/>
  <c r="IC39" i="7" s="1"/>
  <c r="HS39" i="7"/>
  <c r="HT39" i="7" s="1"/>
  <c r="GU38" i="7"/>
  <c r="EH20" i="7"/>
  <c r="EL19" i="7"/>
  <c r="EE37" i="7"/>
  <c r="EF37" i="7" s="1"/>
  <c r="EG37" i="7" s="1"/>
  <c r="EH37" i="7" s="1"/>
  <c r="EB36" i="7"/>
  <c r="EE36" i="7" s="1"/>
  <c r="HV41" i="7"/>
  <c r="HW41" i="7" s="1"/>
  <c r="HX41" i="7" s="1"/>
  <c r="HY41" i="7" s="1"/>
  <c r="HA40" i="7"/>
  <c r="HB40" i="7" s="1"/>
  <c r="HC40" i="7" s="1"/>
  <c r="HD40" i="7" s="1"/>
  <c r="EZ37" i="7"/>
  <c r="FA37" i="7" s="1"/>
  <c r="FB37" i="7" s="1"/>
  <c r="FC37" i="7" s="1"/>
  <c r="FU37" i="7"/>
  <c r="FV37" i="7" s="1"/>
  <c r="FW37" i="7" s="1"/>
  <c r="FX37" i="7" s="1"/>
  <c r="FY37" i="7" s="1"/>
  <c r="FZ37" i="7" s="1"/>
  <c r="GA37" i="7" s="1"/>
  <c r="FG37" i="7"/>
  <c r="FH37" i="7" s="1"/>
  <c r="FI37" i="7" s="1"/>
  <c r="EL37" i="7"/>
  <c r="EM37" i="7" s="1"/>
  <c r="EN37" i="7" s="1"/>
  <c r="EO37" i="7" s="1"/>
  <c r="GB37" i="7"/>
  <c r="GC37" i="7" s="1"/>
  <c r="GD37" i="7" s="1"/>
  <c r="GE37" i="7" s="1"/>
  <c r="FN37" i="7"/>
  <c r="FO37" i="7" s="1"/>
  <c r="FP37" i="7" s="1"/>
  <c r="FQ37" i="7" s="1"/>
  <c r="ES37" i="7"/>
  <c r="ET37" i="7" s="1"/>
  <c r="EU37" i="7" s="1"/>
  <c r="HU39" i="7"/>
  <c r="FJ38" i="7"/>
  <c r="HO39" i="7" l="1"/>
  <c r="HP39" i="7" s="1"/>
  <c r="HQ39" i="7" s="1"/>
  <c r="HR39" i="7" s="1"/>
  <c r="H55" i="4"/>
  <c r="H68" i="4"/>
  <c r="IR112" i="7"/>
  <c r="KI112" i="7" s="1"/>
  <c r="CQ60" i="7"/>
  <c r="CV60" i="7" s="1"/>
  <c r="CW60" i="7" s="1"/>
  <c r="BQ60" i="7" s="1"/>
  <c r="BR60" i="7" s="1"/>
  <c r="BP60" i="7" s="1"/>
  <c r="BQ39" i="7"/>
  <c r="CQ59" i="7"/>
  <c r="CT59" i="7" s="1"/>
  <c r="CV59" i="7" s="1"/>
  <c r="CW59" i="7" s="1"/>
  <c r="BQ59" i="7" s="1"/>
  <c r="BR59" i="7" s="1"/>
  <c r="BP59" i="7" s="1"/>
  <c r="BQ38" i="7"/>
  <c r="EV37" i="7"/>
  <c r="II39" i="7"/>
  <c r="HH39" i="7"/>
  <c r="HI39" i="7" s="1"/>
  <c r="HJ39" i="7" s="1"/>
  <c r="HK39" i="7" s="1"/>
  <c r="IH39" i="7"/>
  <c r="IJ39" i="7" s="1"/>
  <c r="DS69" i="7" s="1"/>
  <c r="HS38" i="7"/>
  <c r="HT38" i="7" s="1"/>
  <c r="HE38" i="7"/>
  <c r="HF38" i="7" s="1"/>
  <c r="HG38" i="7" s="1"/>
  <c r="HZ38" i="7"/>
  <c r="IA38" i="7" s="1"/>
  <c r="IB38" i="7" s="1"/>
  <c r="IC38" i="7" s="1"/>
  <c r="GU37" i="7"/>
  <c r="HL38" i="7"/>
  <c r="HM38" i="7" s="1"/>
  <c r="HN38" i="7" s="1"/>
  <c r="HO38" i="7" s="1"/>
  <c r="GX38" i="7"/>
  <c r="GY38" i="7" s="1"/>
  <c r="GZ38" i="7" s="1"/>
  <c r="EH21" i="7"/>
  <c r="EL20" i="7"/>
  <c r="HV40" i="7"/>
  <c r="HW40" i="7" s="1"/>
  <c r="HX40" i="7" s="1"/>
  <c r="HY40" i="7" s="1"/>
  <c r="EE48" i="7"/>
  <c r="EE49" i="7" s="1"/>
  <c r="EE50" i="7" s="1"/>
  <c r="EF36" i="7"/>
  <c r="EG36" i="7" s="1"/>
  <c r="EH36" i="7" s="1"/>
  <c r="HA39" i="7"/>
  <c r="HB39" i="7" s="1"/>
  <c r="HC39" i="7" s="1"/>
  <c r="HD39" i="7" s="1"/>
  <c r="HU38" i="7"/>
  <c r="GB36" i="7"/>
  <c r="FU36" i="7"/>
  <c r="FG36" i="7"/>
  <c r="EL36" i="7"/>
  <c r="EZ36" i="7"/>
  <c r="FN36" i="7"/>
  <c r="ES36" i="7"/>
  <c r="GF37" i="7"/>
  <c r="GG37" i="7" s="1"/>
  <c r="GH37" i="7" s="1"/>
  <c r="FJ37" i="7"/>
  <c r="H67" i="4" l="1"/>
  <c r="H56" i="4"/>
  <c r="IS112" i="7"/>
  <c r="JA112" i="7"/>
  <c r="JI112" i="7"/>
  <c r="JQ112" i="7"/>
  <c r="KE112" i="7"/>
  <c r="IT112" i="7"/>
  <c r="JB112" i="7"/>
  <c r="JJ112" i="7"/>
  <c r="IW112" i="7"/>
  <c r="JE112" i="7"/>
  <c r="JM112" i="7"/>
  <c r="JX112" i="7"/>
  <c r="C92" i="7" s="1"/>
  <c r="H92" i="7" s="1"/>
  <c r="M92" i="7" s="1"/>
  <c r="KJ112" i="7"/>
  <c r="IX112" i="7"/>
  <c r="JF112" i="7"/>
  <c r="JR112" i="7"/>
  <c r="JN112" i="7"/>
  <c r="JY112" i="7"/>
  <c r="D92" i="7" s="1"/>
  <c r="I92" i="7" s="1"/>
  <c r="N92" i="7" s="1"/>
  <c r="KF112" i="7"/>
  <c r="KK112" i="7"/>
  <c r="IU112" i="7"/>
  <c r="IY112" i="7"/>
  <c r="JC112" i="7"/>
  <c r="JG112" i="7"/>
  <c r="JK112" i="7"/>
  <c r="JO112" i="7"/>
  <c r="JV112" i="7"/>
  <c r="JZ112" i="7"/>
  <c r="E92" i="7" s="1"/>
  <c r="J92" i="7" s="1"/>
  <c r="O92" i="7" s="1"/>
  <c r="KG112" i="7"/>
  <c r="KH112" i="7" s="1"/>
  <c r="KL112" i="7"/>
  <c r="IV112" i="7"/>
  <c r="IZ112" i="7"/>
  <c r="JD112" i="7"/>
  <c r="JH112" i="7"/>
  <c r="JL112" i="7"/>
  <c r="JP112" i="7"/>
  <c r="JW112" i="7"/>
  <c r="B92" i="7" s="1"/>
  <c r="G92" i="7" s="1"/>
  <c r="L92" i="7" s="1"/>
  <c r="KA112" i="7"/>
  <c r="F92" i="7" s="1"/>
  <c r="K92" i="7" s="1"/>
  <c r="P92" i="7" s="1"/>
  <c r="AI58" i="7"/>
  <c r="H11" i="4" s="1"/>
  <c r="IK79" i="7"/>
  <c r="AI59" i="7"/>
  <c r="H12" i="4" s="1"/>
  <c r="IK80" i="7"/>
  <c r="GX37" i="7"/>
  <c r="GY37" i="7" s="1"/>
  <c r="GZ37" i="7" s="1"/>
  <c r="GU36" i="7"/>
  <c r="HE37" i="7"/>
  <c r="HF37" i="7" s="1"/>
  <c r="HG37" i="7" s="1"/>
  <c r="HZ37" i="7"/>
  <c r="IA37" i="7" s="1"/>
  <c r="IB37" i="7" s="1"/>
  <c r="IC37" i="7" s="1"/>
  <c r="HL37" i="7"/>
  <c r="HM37" i="7" s="1"/>
  <c r="HN37" i="7" s="1"/>
  <c r="HO37" i="7" s="1"/>
  <c r="HS37" i="7"/>
  <c r="HT37" i="7" s="1"/>
  <c r="HU37" i="7" s="1"/>
  <c r="HH38" i="7"/>
  <c r="HI38" i="7" s="1"/>
  <c r="HJ38" i="7" s="1"/>
  <c r="HK38" i="7" s="1"/>
  <c r="II38" i="7"/>
  <c r="IH38" i="7"/>
  <c r="IJ38" i="7" s="1"/>
  <c r="DS68" i="7" s="1"/>
  <c r="DT69" i="7"/>
  <c r="EF69" i="7"/>
  <c r="EG69" i="7" s="1"/>
  <c r="EH69" i="7" s="1"/>
  <c r="EI69" i="7" s="1"/>
  <c r="DU69" i="7"/>
  <c r="DV69" i="7" s="1"/>
  <c r="DZ69" i="7"/>
  <c r="EH22" i="7"/>
  <c r="EL21" i="7"/>
  <c r="EI37" i="7"/>
  <c r="EJ37" i="7" s="1"/>
  <c r="EK37" i="7" s="1"/>
  <c r="HV39" i="7"/>
  <c r="HW39" i="7" s="1"/>
  <c r="HX39" i="7" s="1"/>
  <c r="HY39" i="7" s="1"/>
  <c r="EI36" i="7"/>
  <c r="EJ36" i="7" s="1"/>
  <c r="HA38" i="7"/>
  <c r="HB38" i="7" s="1"/>
  <c r="HC38" i="7" s="1"/>
  <c r="HD38" i="7" s="1"/>
  <c r="ES48" i="7"/>
  <c r="ES49" i="7" s="1"/>
  <c r="EW37" i="7" s="1"/>
  <c r="EX37" i="7" s="1"/>
  <c r="EY37" i="7" s="1"/>
  <c r="ET36" i="7"/>
  <c r="EU36" i="7" s="1"/>
  <c r="EV36" i="7" s="1"/>
  <c r="EZ48" i="7"/>
  <c r="EZ49" i="7" s="1"/>
  <c r="FA36" i="7"/>
  <c r="FB36" i="7" s="1"/>
  <c r="FC36" i="7" s="1"/>
  <c r="FG48" i="7"/>
  <c r="FG49" i="7" s="1"/>
  <c r="FK38" i="7" s="1"/>
  <c r="FL38" i="7" s="1"/>
  <c r="FM38" i="7" s="1"/>
  <c r="FH36" i="7"/>
  <c r="FI36" i="7" s="1"/>
  <c r="FJ36" i="7" s="1"/>
  <c r="GB48" i="7"/>
  <c r="GB49" i="7" s="1"/>
  <c r="GC36" i="7"/>
  <c r="GD36" i="7" s="1"/>
  <c r="GE36" i="7" s="1"/>
  <c r="FN48" i="7"/>
  <c r="FN49" i="7" s="1"/>
  <c r="FR40" i="7" s="1"/>
  <c r="FS40" i="7" s="1"/>
  <c r="FT40" i="7" s="1"/>
  <c r="FO36" i="7"/>
  <c r="FP36" i="7" s="1"/>
  <c r="FQ36" i="7" s="1"/>
  <c r="EL48" i="7"/>
  <c r="EL49" i="7" s="1"/>
  <c r="EM36" i="7"/>
  <c r="EN36" i="7" s="1"/>
  <c r="EO36" i="7" s="1"/>
  <c r="FU48" i="7"/>
  <c r="FU49" i="7" s="1"/>
  <c r="FY41" i="7" s="1"/>
  <c r="FZ41" i="7" s="1"/>
  <c r="GA41" i="7" s="1"/>
  <c r="FV36" i="7"/>
  <c r="FW36" i="7" s="1"/>
  <c r="FX36" i="7" s="1"/>
  <c r="FY36" i="7" s="1"/>
  <c r="FZ36" i="7" s="1"/>
  <c r="H66" i="4" l="1"/>
  <c r="KM112" i="7"/>
  <c r="KN112" i="7" s="1"/>
  <c r="IN112" i="7" s="1"/>
  <c r="BX92" i="7" s="1"/>
  <c r="GF42" i="7"/>
  <c r="GG42" i="7" s="1"/>
  <c r="GH42" i="7" s="1"/>
  <c r="GF38" i="7"/>
  <c r="GG38" i="7" s="1"/>
  <c r="GH38" i="7" s="1"/>
  <c r="JS112" i="7"/>
  <c r="JT112" i="7" s="1"/>
  <c r="KB112" i="7"/>
  <c r="KC112" i="7" s="1"/>
  <c r="IR80" i="7"/>
  <c r="JY80" i="7" s="1"/>
  <c r="D59" i="7" s="1"/>
  <c r="I59" i="7" s="1"/>
  <c r="N59" i="7" s="1"/>
  <c r="IR79" i="7"/>
  <c r="JJ79" i="7" s="1"/>
  <c r="JF80" i="7"/>
  <c r="IT79" i="7"/>
  <c r="FR36" i="7"/>
  <c r="FS36" i="7" s="1"/>
  <c r="EB69" i="7"/>
  <c r="EE69" i="7" s="1"/>
  <c r="EJ69" i="7" s="1"/>
  <c r="EA69" i="7"/>
  <c r="EC69" i="7"/>
  <c r="DT68" i="7"/>
  <c r="DZ68" i="7"/>
  <c r="DU68" i="7"/>
  <c r="DV68" i="7" s="1"/>
  <c r="EF68" i="7"/>
  <c r="EG68" i="7" s="1"/>
  <c r="EH68" i="7" s="1"/>
  <c r="EI68" i="7" s="1"/>
  <c r="HH37" i="7"/>
  <c r="II37" i="7"/>
  <c r="HS36" i="7"/>
  <c r="HZ36" i="7"/>
  <c r="GX36" i="7"/>
  <c r="HE36" i="7"/>
  <c r="HL36" i="7"/>
  <c r="EH23" i="7"/>
  <c r="EL22" i="7"/>
  <c r="HV38" i="7"/>
  <c r="EK36" i="7"/>
  <c r="EK48" i="7" s="1"/>
  <c r="EJ50" i="7" s="1"/>
  <c r="EJ48" i="7"/>
  <c r="EJ49" i="7" s="1"/>
  <c r="HA37" i="7"/>
  <c r="FD37" i="7"/>
  <c r="FE37" i="7" s="1"/>
  <c r="FF37" i="7" s="1"/>
  <c r="FD39" i="7"/>
  <c r="FE39" i="7" s="1"/>
  <c r="FF39" i="7" s="1"/>
  <c r="FY39" i="7"/>
  <c r="FZ39" i="7" s="1"/>
  <c r="GA39" i="7" s="1"/>
  <c r="FY38" i="7"/>
  <c r="FZ38" i="7" s="1"/>
  <c r="GA38" i="7" s="1"/>
  <c r="FR38" i="7"/>
  <c r="FS38" i="7" s="1"/>
  <c r="FT38" i="7" s="1"/>
  <c r="FR37" i="7"/>
  <c r="FS37" i="7" s="1"/>
  <c r="FT37" i="7" s="1"/>
  <c r="GF40" i="7"/>
  <c r="GG40" i="7" s="1"/>
  <c r="GH40" i="7" s="1"/>
  <c r="GF39" i="7"/>
  <c r="GG39" i="7" s="1"/>
  <c r="GH39" i="7" s="1"/>
  <c r="FK36" i="7"/>
  <c r="FL36" i="7" s="1"/>
  <c r="FM36" i="7" s="1"/>
  <c r="FD36" i="7"/>
  <c r="FE36" i="7" s="1"/>
  <c r="FF36" i="7" s="1"/>
  <c r="EW36" i="7"/>
  <c r="EX36" i="7" s="1"/>
  <c r="EY36" i="7" s="1"/>
  <c r="FK37" i="7"/>
  <c r="FL37" i="7" s="1"/>
  <c r="FM37" i="7" s="1"/>
  <c r="EP36" i="7"/>
  <c r="EQ36" i="7" s="1"/>
  <c r="FU50" i="7"/>
  <c r="FY40" i="7"/>
  <c r="FZ40" i="7" s="1"/>
  <c r="GA40" i="7" s="1"/>
  <c r="EL50" i="7"/>
  <c r="EP37" i="7"/>
  <c r="EQ37" i="7" s="1"/>
  <c r="ER37" i="7" s="1"/>
  <c r="FN50" i="7"/>
  <c r="FR39" i="7"/>
  <c r="FS39" i="7" s="1"/>
  <c r="FT39" i="7" s="1"/>
  <c r="GB50" i="7"/>
  <c r="GF41" i="7"/>
  <c r="GG41" i="7" s="1"/>
  <c r="GH41" i="7" s="1"/>
  <c r="FG50" i="7"/>
  <c r="FK39" i="7"/>
  <c r="FL39" i="7" s="1"/>
  <c r="FM39" i="7" s="1"/>
  <c r="EZ50" i="7"/>
  <c r="FD38" i="7"/>
  <c r="FE38" i="7" s="1"/>
  <c r="FF38" i="7" s="1"/>
  <c r="ES50" i="7"/>
  <c r="EW38" i="7"/>
  <c r="EX38" i="7" s="1"/>
  <c r="EY38" i="7" s="1"/>
  <c r="GA36" i="7"/>
  <c r="ER36" i="7"/>
  <c r="FT36" i="7"/>
  <c r="GF36" i="7"/>
  <c r="GG36" i="7" s="1"/>
  <c r="H65" i="4" l="1"/>
  <c r="JZ79" i="7"/>
  <c r="E58" i="7" s="1"/>
  <c r="J58" i="7" s="1"/>
  <c r="O58" i="7" s="1"/>
  <c r="JI79" i="7"/>
  <c r="IX79" i="7"/>
  <c r="JP79" i="7"/>
  <c r="KL79" i="7"/>
  <c r="JL79" i="7"/>
  <c r="IS79" i="7"/>
  <c r="IZ79" i="7"/>
  <c r="JG79" i="7"/>
  <c r="JN79" i="7"/>
  <c r="JE79" i="7"/>
  <c r="JV79" i="7"/>
  <c r="KF79" i="7"/>
  <c r="JQ79" i="7"/>
  <c r="JA79" i="7"/>
  <c r="KA79" i="7"/>
  <c r="F58" i="7" s="1"/>
  <c r="K58" i="7" s="1"/>
  <c r="P58" i="7" s="1"/>
  <c r="JH79" i="7"/>
  <c r="KI79" i="7"/>
  <c r="JO79" i="7"/>
  <c r="IY79" i="7"/>
  <c r="JY79" i="7"/>
  <c r="D58" i="7" s="1"/>
  <c r="I58" i="7" s="1"/>
  <c r="N58" i="7" s="1"/>
  <c r="JF79" i="7"/>
  <c r="JX79" i="7"/>
  <c r="C58" i="7" s="1"/>
  <c r="H58" i="7" s="1"/>
  <c r="M58" i="7" s="1"/>
  <c r="KJ79" i="7"/>
  <c r="IV79" i="7"/>
  <c r="JC79" i="7"/>
  <c r="IW80" i="7"/>
  <c r="JK80" i="7"/>
  <c r="JD80" i="7"/>
  <c r="JR80" i="7"/>
  <c r="JM80" i="7"/>
  <c r="JW80" i="7"/>
  <c r="B59" i="7" s="1"/>
  <c r="G59" i="7" s="1"/>
  <c r="L59" i="7" s="1"/>
  <c r="KG80" i="7"/>
  <c r="IU80" i="7"/>
  <c r="JB80" i="7"/>
  <c r="JQ80" i="7"/>
  <c r="KA80" i="7"/>
  <c r="F59" i="7" s="1"/>
  <c r="K59" i="7" s="1"/>
  <c r="P59" i="7" s="1"/>
  <c r="KI80" i="7"/>
  <c r="IY80" i="7"/>
  <c r="JX80" i="7"/>
  <c r="C59" i="7" s="1"/>
  <c r="H59" i="7" s="1"/>
  <c r="M59" i="7" s="1"/>
  <c r="JE80" i="7"/>
  <c r="KJ80" i="7"/>
  <c r="JL80" i="7"/>
  <c r="IV80" i="7"/>
  <c r="JV80" i="7"/>
  <c r="JC80" i="7"/>
  <c r="KF80" i="7"/>
  <c r="JJ80" i="7"/>
  <c r="IT80" i="7"/>
  <c r="JA80" i="7"/>
  <c r="JH80" i="7"/>
  <c r="JO80" i="7"/>
  <c r="KE79" i="7"/>
  <c r="KK79" i="7"/>
  <c r="IW79" i="7"/>
  <c r="JD79" i="7"/>
  <c r="JK79" i="7"/>
  <c r="JR79" i="7"/>
  <c r="JM79" i="7"/>
  <c r="JW79" i="7"/>
  <c r="B58" i="7" s="1"/>
  <c r="G58" i="7" s="1"/>
  <c r="L58" i="7" s="1"/>
  <c r="KG79" i="7"/>
  <c r="IU79" i="7"/>
  <c r="JB79" i="7"/>
  <c r="KK80" i="7"/>
  <c r="KE80" i="7"/>
  <c r="KH80" i="7" s="1"/>
  <c r="IS80" i="7"/>
  <c r="IZ80" i="7"/>
  <c r="JG80" i="7"/>
  <c r="JN80" i="7"/>
  <c r="JI80" i="7"/>
  <c r="JP80" i="7"/>
  <c r="JZ80" i="7"/>
  <c r="E59" i="7" s="1"/>
  <c r="J59" i="7" s="1"/>
  <c r="O59" i="7" s="1"/>
  <c r="KL80" i="7"/>
  <c r="IX80" i="7"/>
  <c r="HE48" i="7"/>
  <c r="HE49" i="7" s="1"/>
  <c r="HF36" i="7"/>
  <c r="HG36" i="7" s="1"/>
  <c r="IA36" i="7"/>
  <c r="IB36" i="7" s="1"/>
  <c r="IC36" i="7" s="1"/>
  <c r="ID36" i="7" s="1"/>
  <c r="IE36" i="7" s="1"/>
  <c r="HZ48" i="7"/>
  <c r="HZ49" i="7" s="1"/>
  <c r="EB68" i="7"/>
  <c r="EE68" i="7" s="1"/>
  <c r="EJ68" i="7" s="1"/>
  <c r="EA68" i="7"/>
  <c r="EC68" i="7"/>
  <c r="HM36" i="7"/>
  <c r="HN36" i="7" s="1"/>
  <c r="HO36" i="7" s="1"/>
  <c r="HL48" i="7"/>
  <c r="HL49" i="7" s="1"/>
  <c r="GY36" i="7"/>
  <c r="GZ36" i="7" s="1"/>
  <c r="HA36" i="7" s="1"/>
  <c r="GX48" i="7"/>
  <c r="GX49" i="7" s="1"/>
  <c r="GX50" i="7" s="1"/>
  <c r="HT36" i="7"/>
  <c r="HU36" i="7" s="1"/>
  <c r="HS48" i="7"/>
  <c r="HS49" i="7" s="1"/>
  <c r="HS50" i="7" s="1"/>
  <c r="EH24" i="7"/>
  <c r="EL23" i="7"/>
  <c r="EX48" i="7"/>
  <c r="EX49" i="7" s="1"/>
  <c r="FL48" i="7"/>
  <c r="FL49" i="7" s="1"/>
  <c r="FE48" i="7"/>
  <c r="FE49" i="7" s="1"/>
  <c r="FZ48" i="7"/>
  <c r="FZ49" i="7" s="1"/>
  <c r="EJ51" i="7"/>
  <c r="EK49" i="7"/>
  <c r="CO75" i="7" s="1"/>
  <c r="CS75" i="7" s="1"/>
  <c r="HV37" i="7"/>
  <c r="HB37" i="7"/>
  <c r="HC37" i="7" s="1"/>
  <c r="HD37" i="7" s="1"/>
  <c r="FS48" i="7"/>
  <c r="FS49" i="7" s="1"/>
  <c r="ER48" i="7"/>
  <c r="HG57" i="7" s="1"/>
  <c r="EY48" i="7"/>
  <c r="FF48" i="7"/>
  <c r="FM48" i="7"/>
  <c r="FT48" i="7"/>
  <c r="FS50" i="7" s="1"/>
  <c r="EQ48" i="7"/>
  <c r="GA48" i="7"/>
  <c r="BR38" i="7"/>
  <c r="GG48" i="7"/>
  <c r="GG49" i="7" s="1"/>
  <c r="GH36" i="7"/>
  <c r="KM79" i="7" l="1"/>
  <c r="KN79" i="7" s="1"/>
  <c r="IN79" i="7" s="1"/>
  <c r="BX59" i="7" s="1"/>
  <c r="BY59" i="7" s="1"/>
  <c r="AK58" i="7" s="1"/>
  <c r="KB79" i="7"/>
  <c r="KC79" i="7" s="1"/>
  <c r="JS79" i="7"/>
  <c r="JT79" i="7" s="1"/>
  <c r="KM80" i="7"/>
  <c r="KN80" i="7" s="1"/>
  <c r="IN80" i="7" s="1"/>
  <c r="BX60" i="7" s="1"/>
  <c r="BY60" i="7" s="1"/>
  <c r="AK59" i="7" s="1"/>
  <c r="KB80" i="7"/>
  <c r="KC80" i="7" s="1"/>
  <c r="JS80" i="7"/>
  <c r="JT80" i="7" s="1"/>
  <c r="KH79" i="7"/>
  <c r="GH48" i="7"/>
  <c r="CO94" i="7" s="1"/>
  <c r="GA49" i="7"/>
  <c r="HB36" i="7"/>
  <c r="HC36" i="7" s="1"/>
  <c r="HD36" i="7" s="1"/>
  <c r="HD48" i="7" s="1"/>
  <c r="ID38" i="7"/>
  <c r="IE38" i="7" s="1"/>
  <c r="IF38" i="7" s="1"/>
  <c r="ID37" i="7"/>
  <c r="IE37" i="7" s="1"/>
  <c r="IF37" i="7" s="1"/>
  <c r="HP36" i="7"/>
  <c r="HQ36" i="7" s="1"/>
  <c r="HR36" i="7" s="1"/>
  <c r="HW37" i="7"/>
  <c r="HX37" i="7" s="1"/>
  <c r="HY37" i="7" s="1"/>
  <c r="IF36" i="7"/>
  <c r="HI37" i="7"/>
  <c r="HJ37" i="7" s="1"/>
  <c r="HE50" i="7"/>
  <c r="HP37" i="7"/>
  <c r="HQ37" i="7" s="1"/>
  <c r="HR37" i="7" s="1"/>
  <c r="HL50" i="7"/>
  <c r="HP38" i="7"/>
  <c r="HQ38" i="7" s="1"/>
  <c r="HR38" i="7" s="1"/>
  <c r="HZ50" i="7"/>
  <c r="ID39" i="7"/>
  <c r="IE39" i="7" s="1"/>
  <c r="IF39" i="7" s="1"/>
  <c r="II36" i="7"/>
  <c r="II48" i="7" s="1"/>
  <c r="HD60" i="7" s="1"/>
  <c r="BX38" i="7" s="1"/>
  <c r="HH36" i="7"/>
  <c r="HI36" i="7" s="1"/>
  <c r="HJ36" i="7" s="1"/>
  <c r="HW38" i="7"/>
  <c r="HX38" i="7" s="1"/>
  <c r="HY38" i="7" s="1"/>
  <c r="CO89" i="7"/>
  <c r="CS89" i="7" s="1"/>
  <c r="EH25" i="7"/>
  <c r="EL25" i="7" s="1"/>
  <c r="EL24" i="7"/>
  <c r="HS63" i="7"/>
  <c r="EQ50" i="7"/>
  <c r="HJ54" i="7" s="1"/>
  <c r="HG58" i="7"/>
  <c r="CO61" i="7"/>
  <c r="CS61" i="7" s="1"/>
  <c r="CV61" i="7" s="1"/>
  <c r="FT49" i="7"/>
  <c r="CM88" i="7" s="1"/>
  <c r="CR88" i="7" s="1"/>
  <c r="CW88" i="7" s="1"/>
  <c r="BQ88" i="7" s="1"/>
  <c r="BR88" i="7" s="1"/>
  <c r="BP88" i="7" s="1"/>
  <c r="FZ50" i="7"/>
  <c r="FS51" i="7"/>
  <c r="IE54" i="7"/>
  <c r="FF49" i="7"/>
  <c r="CO86" i="7" s="1"/>
  <c r="CS86" i="7" s="1"/>
  <c r="FE50" i="7"/>
  <c r="ER49" i="7"/>
  <c r="EQ49" i="7"/>
  <c r="FM49" i="7"/>
  <c r="CO85" i="7" s="1"/>
  <c r="CS85" i="7" s="1"/>
  <c r="FL50" i="7"/>
  <c r="FL51" i="7" s="1"/>
  <c r="EY49" i="7"/>
  <c r="EX50" i="7"/>
  <c r="HV36" i="7"/>
  <c r="HW36" i="7" s="1"/>
  <c r="HX36" i="7" s="1"/>
  <c r="HY36" i="7" s="1"/>
  <c r="CO76" i="7"/>
  <c r="BR39" i="7" l="1"/>
  <c r="CO83" i="7"/>
  <c r="CS83" i="7" s="1"/>
  <c r="AI88" i="7"/>
  <c r="H115" i="4" s="1"/>
  <c r="IK108" i="7"/>
  <c r="GH49" i="7"/>
  <c r="GG50" i="7"/>
  <c r="GG51" i="7" s="1"/>
  <c r="CQ93" i="7"/>
  <c r="CT93" i="7" s="1"/>
  <c r="FZ52" i="7"/>
  <c r="CQ62" i="7" s="1"/>
  <c r="CT62" i="7" s="1"/>
  <c r="FZ51" i="7"/>
  <c r="CQ57" i="7"/>
  <c r="CT57" i="7" s="1"/>
  <c r="HC48" i="7"/>
  <c r="HC49" i="7" s="1"/>
  <c r="HY48" i="7"/>
  <c r="HX50" i="7" s="1"/>
  <c r="CO63" i="7" s="1"/>
  <c r="HX48" i="7"/>
  <c r="HX49" i="7" s="1"/>
  <c r="IH36" i="7"/>
  <c r="HJ48" i="7"/>
  <c r="HJ49" i="7" s="1"/>
  <c r="HK36" i="7"/>
  <c r="IH37" i="7"/>
  <c r="IJ37" i="7" s="1"/>
  <c r="DS67" i="7" s="1"/>
  <c r="HK37" i="7"/>
  <c r="IF48" i="7"/>
  <c r="HR48" i="7"/>
  <c r="CM94" i="7" s="1"/>
  <c r="CR94" i="7" s="1"/>
  <c r="IE48" i="7"/>
  <c r="IE49" i="7" s="1"/>
  <c r="HQ48" i="7"/>
  <c r="HQ49" i="7" s="1"/>
  <c r="CW61" i="7"/>
  <c r="EQ51" i="7"/>
  <c r="HS64" i="7" s="1"/>
  <c r="HC50" i="7"/>
  <c r="CO78" i="7"/>
  <c r="CS78" i="7" s="1"/>
  <c r="IE55" i="7"/>
  <c r="HJ55" i="7"/>
  <c r="FE51" i="7"/>
  <c r="HX55" i="7" s="1"/>
  <c r="HX54" i="7"/>
  <c r="EX51" i="7"/>
  <c r="HQ54" i="7"/>
  <c r="CO74" i="7"/>
  <c r="CS74" i="7" s="1"/>
  <c r="CO87" i="7"/>
  <c r="CS76" i="7"/>
  <c r="CO77" i="7"/>
  <c r="CS77" i="7" s="1"/>
  <c r="HD49" i="7" l="1"/>
  <c r="HR70" i="7" s="1"/>
  <c r="IR108" i="7"/>
  <c r="IT108" i="7" s="1"/>
  <c r="BQ61" i="7"/>
  <c r="BR61" i="7" s="1"/>
  <c r="BP61" i="7" s="1"/>
  <c r="CO57" i="7"/>
  <c r="CS57" i="7" s="1"/>
  <c r="CO62" i="7"/>
  <c r="CS62" i="7" s="1"/>
  <c r="HY49" i="7"/>
  <c r="CM93" i="7" s="1"/>
  <c r="CR93" i="7" s="1"/>
  <c r="HC51" i="7"/>
  <c r="HR63" i="7" s="1"/>
  <c r="HX51" i="7"/>
  <c r="HX52" i="7" s="1"/>
  <c r="HX53" i="7" s="1"/>
  <c r="IE50" i="7"/>
  <c r="IE51" i="7" s="1"/>
  <c r="IE52" i="7" s="1"/>
  <c r="IE53" i="7" s="1"/>
  <c r="IF49" i="7"/>
  <c r="IJ36" i="7"/>
  <c r="DS66" i="7" s="1"/>
  <c r="IH48" i="7"/>
  <c r="HK48" i="7"/>
  <c r="HR49" i="7"/>
  <c r="HQ50" i="7"/>
  <c r="DU67" i="7"/>
  <c r="DT67" i="7"/>
  <c r="CS63" i="7"/>
  <c r="HS70" i="7"/>
  <c r="CO79" i="7"/>
  <c r="CO80" i="7" s="1"/>
  <c r="HS65" i="7"/>
  <c r="HQ55" i="7"/>
  <c r="CO90" i="7"/>
  <c r="CS87" i="7"/>
  <c r="KK108" i="7" l="1"/>
  <c r="KJ108" i="7"/>
  <c r="JV108" i="7"/>
  <c r="JK108" i="7"/>
  <c r="JZ108" i="7"/>
  <c r="E88" i="7" s="1"/>
  <c r="J88" i="7" s="1"/>
  <c r="O88" i="7" s="1"/>
  <c r="JO108" i="7"/>
  <c r="JG108" i="7"/>
  <c r="JC108" i="7"/>
  <c r="IU108" i="7"/>
  <c r="IY108" i="7"/>
  <c r="KG108" i="7"/>
  <c r="JY108" i="7"/>
  <c r="D88" i="7" s="1"/>
  <c r="I88" i="7" s="1"/>
  <c r="N88" i="7" s="1"/>
  <c r="JN108" i="7"/>
  <c r="JR108" i="7"/>
  <c r="JJ108" i="7"/>
  <c r="JF108" i="7"/>
  <c r="JB108" i="7"/>
  <c r="IX108" i="7"/>
  <c r="CM75" i="7"/>
  <c r="CR75" i="7" s="1"/>
  <c r="CM85" i="7"/>
  <c r="KI108" i="7"/>
  <c r="KL108" i="7"/>
  <c r="KE108" i="7"/>
  <c r="JQ108" i="7"/>
  <c r="JI108" i="7"/>
  <c r="JA108" i="7"/>
  <c r="IS108" i="7"/>
  <c r="JW108" i="7"/>
  <c r="B88" i="7" s="1"/>
  <c r="G88" i="7" s="1"/>
  <c r="L88" i="7" s="1"/>
  <c r="JL108" i="7"/>
  <c r="JD108" i="7"/>
  <c r="IV108" i="7"/>
  <c r="KF108" i="7"/>
  <c r="JX108" i="7"/>
  <c r="C88" i="7" s="1"/>
  <c r="H88" i="7" s="1"/>
  <c r="M88" i="7" s="1"/>
  <c r="JM108" i="7"/>
  <c r="JE108" i="7"/>
  <c r="IW108" i="7"/>
  <c r="KA108" i="7"/>
  <c r="F88" i="7" s="1"/>
  <c r="K88" i="7" s="1"/>
  <c r="P88" i="7" s="1"/>
  <c r="JP108" i="7"/>
  <c r="JH108" i="7"/>
  <c r="IZ108" i="7"/>
  <c r="AI60" i="7"/>
  <c r="H13" i="4" s="1"/>
  <c r="IK81" i="7"/>
  <c r="CS79" i="7"/>
  <c r="CO93" i="7"/>
  <c r="CS93" i="7" s="1"/>
  <c r="CV93" i="7" s="1"/>
  <c r="CW93" i="7" s="1"/>
  <c r="BQ93" i="7" s="1"/>
  <c r="BR93" i="7" s="1"/>
  <c r="BP93" i="7" s="1"/>
  <c r="HQ51" i="7"/>
  <c r="HR52" i="7" s="1"/>
  <c r="CO56" i="7"/>
  <c r="CS56" i="7" s="1"/>
  <c r="CM63" i="7"/>
  <c r="CR63" i="7" s="1"/>
  <c r="CM62" i="7"/>
  <c r="CR62" i="7" s="1"/>
  <c r="CV62" i="7" s="1"/>
  <c r="CW62" i="7" s="1"/>
  <c r="BQ62" i="7" s="1"/>
  <c r="BR62" i="7" s="1"/>
  <c r="CM57" i="7"/>
  <c r="CR57" i="7" s="1"/>
  <c r="CV57" i="7" s="1"/>
  <c r="CW57" i="7" s="1"/>
  <c r="BQ57" i="7" s="1"/>
  <c r="HK49" i="7"/>
  <c r="HJ50" i="7"/>
  <c r="HJ51" i="7" s="1"/>
  <c r="HJ52" i="7" s="1"/>
  <c r="HJ53" i="7" s="1"/>
  <c r="HH60" i="7"/>
  <c r="HH61" i="7" s="1"/>
  <c r="DW66" i="7"/>
  <c r="DT66" i="7"/>
  <c r="DV60" i="7" s="1"/>
  <c r="DU66" i="7"/>
  <c r="DT70" i="7"/>
  <c r="CM74" i="7"/>
  <c r="CR74" i="7" s="1"/>
  <c r="CW74" i="7" s="1"/>
  <c r="BQ74" i="7" s="1"/>
  <c r="BR74" i="7" s="1"/>
  <c r="BP74" i="7" s="1"/>
  <c r="HR69" i="7"/>
  <c r="CM76" i="7"/>
  <c r="CR76" i="7" s="1"/>
  <c r="BS39" i="7"/>
  <c r="CM56" i="7"/>
  <c r="CR56" i="7" s="1"/>
  <c r="HS71" i="7"/>
  <c r="CM87" i="7"/>
  <c r="CR85" i="7"/>
  <c r="HT63" i="7"/>
  <c r="CS90" i="7"/>
  <c r="CO91" i="7"/>
  <c r="CS91" i="7" s="1"/>
  <c r="CO81" i="7"/>
  <c r="CS80" i="7"/>
  <c r="BS38" i="7" l="1"/>
  <c r="BV38" i="7" s="1"/>
  <c r="CM83" i="7"/>
  <c r="CR83" i="7" s="1"/>
  <c r="CW83" i="7" s="1"/>
  <c r="BQ83" i="7" s="1"/>
  <c r="BR83" i="7" s="1"/>
  <c r="BP83" i="7" s="1"/>
  <c r="IK103" i="7" s="1"/>
  <c r="CM77" i="7"/>
  <c r="KM108" i="7"/>
  <c r="KN108" i="7" s="1"/>
  <c r="JS108" i="7"/>
  <c r="JT108" i="7" s="1"/>
  <c r="CV56" i="7"/>
  <c r="CW56" i="7" s="1"/>
  <c r="BQ56" i="7" s="1"/>
  <c r="BR56" i="7" s="1"/>
  <c r="BP56" i="7" s="1"/>
  <c r="AI55" i="7" s="1"/>
  <c r="H6" i="4" s="1"/>
  <c r="IR81" i="7"/>
  <c r="IT81" i="7" s="1"/>
  <c r="KH108" i="7"/>
  <c r="KB108" i="7"/>
  <c r="KC108" i="7" s="1"/>
  <c r="IN108" i="7"/>
  <c r="BX88" i="7" s="1"/>
  <c r="AI74" i="7"/>
  <c r="H88" i="4" s="1"/>
  <c r="IK94" i="7"/>
  <c r="AI93" i="7"/>
  <c r="H121" i="4" s="1"/>
  <c r="IK113" i="7"/>
  <c r="CW76" i="7"/>
  <c r="BQ76" i="7" s="1"/>
  <c r="BR76" i="7" s="1"/>
  <c r="BP76" i="7" s="1"/>
  <c r="DV67" i="7"/>
  <c r="HR64" i="7"/>
  <c r="HQ52" i="7"/>
  <c r="HQ53" i="7" s="1"/>
  <c r="BP62" i="7"/>
  <c r="CM90" i="7"/>
  <c r="CR87" i="7"/>
  <c r="CW87" i="7" s="1"/>
  <c r="BQ87" i="7" s="1"/>
  <c r="BR87" i="7" s="1"/>
  <c r="BP87" i="7" s="1"/>
  <c r="DV61" i="7"/>
  <c r="DV57" i="7"/>
  <c r="DX58" i="7"/>
  <c r="DV56" i="7"/>
  <c r="DV59" i="7"/>
  <c r="DX63" i="7"/>
  <c r="DV55" i="7"/>
  <c r="DX64" i="7"/>
  <c r="DX56" i="7"/>
  <c r="DX61" i="7"/>
  <c r="DX65" i="7"/>
  <c r="DX54" i="7"/>
  <c r="DX62" i="7"/>
  <c r="DX55" i="7"/>
  <c r="DX59" i="7"/>
  <c r="DV54" i="7"/>
  <c r="DX60" i="7"/>
  <c r="DV58" i="7"/>
  <c r="DX57" i="7"/>
  <c r="CM89" i="7"/>
  <c r="CR89" i="7" s="1"/>
  <c r="CW89" i="7" s="1"/>
  <c r="BQ89" i="7" s="1"/>
  <c r="BR89" i="7" s="1"/>
  <c r="BP89" i="7" s="1"/>
  <c r="HD59" i="7"/>
  <c r="BX37" i="7" s="1"/>
  <c r="CM78" i="7"/>
  <c r="CM96" i="7"/>
  <c r="CR96" i="7" s="1"/>
  <c r="CW96" i="7" s="1"/>
  <c r="DV70" i="7"/>
  <c r="DV66" i="7"/>
  <c r="DX66" i="7"/>
  <c r="DW67" i="7"/>
  <c r="HJ58" i="7"/>
  <c r="CM72" i="7" s="1"/>
  <c r="CR72" i="7" s="1"/>
  <c r="HI58" i="7"/>
  <c r="CO72" i="7" s="1"/>
  <c r="CS72" i="7" s="1"/>
  <c r="CW75" i="7"/>
  <c r="BQ75" i="7" s="1"/>
  <c r="BR75" i="7" s="1"/>
  <c r="BP75" i="7" s="1"/>
  <c r="CW85" i="7"/>
  <c r="BQ85" i="7" s="1"/>
  <c r="BR85" i="7" s="1"/>
  <c r="BP85" i="7" s="1"/>
  <c r="BR57" i="7"/>
  <c r="CW63" i="7"/>
  <c r="BQ63" i="7" s="1"/>
  <c r="BR63" i="7" s="1"/>
  <c r="CR77" i="7"/>
  <c r="CO82" i="7"/>
  <c r="CS81" i="7"/>
  <c r="AI83" i="7" l="1"/>
  <c r="BQ96" i="7"/>
  <c r="BR96" i="7" s="1"/>
  <c r="BP96" i="7" s="1"/>
  <c r="IK76" i="7"/>
  <c r="JO81" i="7"/>
  <c r="IY81" i="7"/>
  <c r="JZ81" i="7"/>
  <c r="E60" i="7" s="1"/>
  <c r="J60" i="7" s="1"/>
  <c r="O60" i="7" s="1"/>
  <c r="JG81" i="7"/>
  <c r="KL81" i="7"/>
  <c r="JY81" i="7"/>
  <c r="D60" i="7" s="1"/>
  <c r="I60" i="7" s="1"/>
  <c r="N60" i="7" s="1"/>
  <c r="JN81" i="7"/>
  <c r="JF81" i="7"/>
  <c r="IX81" i="7"/>
  <c r="KG81" i="7"/>
  <c r="JV81" i="7"/>
  <c r="JK81" i="7"/>
  <c r="JC81" i="7"/>
  <c r="IU81" i="7"/>
  <c r="KF81" i="7"/>
  <c r="JR81" i="7"/>
  <c r="JJ81" i="7"/>
  <c r="JB81" i="7"/>
  <c r="IR76" i="7"/>
  <c r="KI81" i="7"/>
  <c r="KE81" i="7"/>
  <c r="JQ81" i="7"/>
  <c r="JI81" i="7"/>
  <c r="JA81" i="7"/>
  <c r="IS81" i="7"/>
  <c r="KA81" i="7"/>
  <c r="F60" i="7" s="1"/>
  <c r="K60" i="7" s="1"/>
  <c r="P60" i="7" s="1"/>
  <c r="JP81" i="7"/>
  <c r="JH81" i="7"/>
  <c r="IZ81" i="7"/>
  <c r="KK81" i="7"/>
  <c r="JX81" i="7"/>
  <c r="C60" i="7" s="1"/>
  <c r="H60" i="7" s="1"/>
  <c r="M60" i="7" s="1"/>
  <c r="JM81" i="7"/>
  <c r="JE81" i="7"/>
  <c r="IW81" i="7"/>
  <c r="KJ81" i="7"/>
  <c r="JW81" i="7"/>
  <c r="B60" i="7" s="1"/>
  <c r="G60" i="7" s="1"/>
  <c r="L60" i="7" s="1"/>
  <c r="JL81" i="7"/>
  <c r="JD81" i="7"/>
  <c r="IV81" i="7"/>
  <c r="IR113" i="7"/>
  <c r="JO113" i="7" s="1"/>
  <c r="IR94" i="7"/>
  <c r="IZ94" i="7" s="1"/>
  <c r="AI85" i="7"/>
  <c r="H112" i="4" s="1"/>
  <c r="IK105" i="7"/>
  <c r="AI75" i="7"/>
  <c r="H89" i="4" s="1"/>
  <c r="IK95" i="7"/>
  <c r="AI89" i="7"/>
  <c r="H116" i="4" s="1"/>
  <c r="IK109" i="7"/>
  <c r="AI87" i="7"/>
  <c r="H114" i="4" s="1"/>
  <c r="IK107" i="7"/>
  <c r="AI62" i="7"/>
  <c r="H18" i="4" s="1"/>
  <c r="IK82" i="7"/>
  <c r="AI76" i="7"/>
  <c r="H90" i="4" s="1"/>
  <c r="IK96" i="7"/>
  <c r="IY113" i="7"/>
  <c r="HT64" i="7"/>
  <c r="HR65" i="7"/>
  <c r="HT65" i="7" s="1"/>
  <c r="BP63" i="7"/>
  <c r="BP57" i="7"/>
  <c r="DX67" i="7"/>
  <c r="DW68" i="7"/>
  <c r="DY57" i="7"/>
  <c r="DZ57" i="7" s="1"/>
  <c r="ED57" i="7"/>
  <c r="DY60" i="7"/>
  <c r="DZ60" i="7" s="1"/>
  <c r="ED60" i="7"/>
  <c r="DY59" i="7"/>
  <c r="DZ59" i="7" s="1"/>
  <c r="ED59" i="7"/>
  <c r="ED62" i="7"/>
  <c r="DY62" i="7"/>
  <c r="DZ62" i="7" s="1"/>
  <c r="ED65" i="7"/>
  <c r="DY65" i="7"/>
  <c r="DZ65" i="7" s="1"/>
  <c r="ED56" i="7"/>
  <c r="DY56" i="7"/>
  <c r="DZ56" i="7" s="1"/>
  <c r="ED58" i="7"/>
  <c r="DY58" i="7"/>
  <c r="DZ58" i="7" s="1"/>
  <c r="CM91" i="7"/>
  <c r="CR91" i="7" s="1"/>
  <c r="CW91" i="7" s="1"/>
  <c r="CR90" i="7"/>
  <c r="CW90" i="7" s="1"/>
  <c r="BQ90" i="7" s="1"/>
  <c r="BR90" i="7" s="1"/>
  <c r="BP90" i="7" s="1"/>
  <c r="CW94" i="7"/>
  <c r="DY66" i="7"/>
  <c r="DZ66" i="7" s="1"/>
  <c r="ED66" i="7"/>
  <c r="BV41" i="7"/>
  <c r="CR78" i="7"/>
  <c r="CW78" i="7" s="1"/>
  <c r="BQ78" i="7" s="1"/>
  <c r="BR78" i="7" s="1"/>
  <c r="BP78" i="7" s="1"/>
  <c r="CM79" i="7"/>
  <c r="ED55" i="7"/>
  <c r="DY55" i="7"/>
  <c r="DZ55" i="7" s="1"/>
  <c r="ED54" i="7"/>
  <c r="DY54" i="7"/>
  <c r="DZ54" i="7" s="1"/>
  <c r="DY61" i="7"/>
  <c r="DZ61" i="7" s="1"/>
  <c r="ED61" i="7"/>
  <c r="DY64" i="7"/>
  <c r="ED64" i="7"/>
  <c r="ED63" i="7"/>
  <c r="DY63" i="7"/>
  <c r="CW72" i="7"/>
  <c r="BQ72" i="7" s="1"/>
  <c r="BR72" i="7" s="1"/>
  <c r="CW77" i="7"/>
  <c r="BQ77" i="7" s="1"/>
  <c r="BR77" i="7" s="1"/>
  <c r="BP77" i="7" s="1"/>
  <c r="CO84" i="7"/>
  <c r="CS84" i="7" s="1"/>
  <c r="CS82" i="7"/>
  <c r="KJ76" i="7" l="1"/>
  <c r="IR103" i="7"/>
  <c r="KI103" i="7" s="1"/>
  <c r="H107" i="4"/>
  <c r="H108" i="4"/>
  <c r="H106" i="4"/>
  <c r="KK103" i="7"/>
  <c r="IX103" i="7"/>
  <c r="JE103" i="7"/>
  <c r="IK116" i="7"/>
  <c r="AI97" i="7"/>
  <c r="H137" i="4" s="1"/>
  <c r="H136" i="4" s="1"/>
  <c r="JH113" i="7"/>
  <c r="JY113" i="7"/>
  <c r="D93" i="7" s="1"/>
  <c r="I93" i="7" s="1"/>
  <c r="N93" i="7" s="1"/>
  <c r="IW113" i="7"/>
  <c r="KE113" i="7"/>
  <c r="KA113" i="7"/>
  <c r="F93" i="7" s="1"/>
  <c r="K93" i="7" s="1"/>
  <c r="P93" i="7" s="1"/>
  <c r="KK113" i="7"/>
  <c r="JC113" i="7"/>
  <c r="JF113" i="7"/>
  <c r="IS113" i="7"/>
  <c r="KM81" i="7"/>
  <c r="KN81" i="7" s="1"/>
  <c r="IN81" i="7" s="1"/>
  <c r="BX61" i="7" s="1"/>
  <c r="BY61" i="7" s="1"/>
  <c r="AK60" i="7" s="1"/>
  <c r="KL76" i="7"/>
  <c r="IU76" i="7"/>
  <c r="KA76" i="7"/>
  <c r="F55" i="7" s="1"/>
  <c r="K55" i="7" s="1"/>
  <c r="JC76" i="7"/>
  <c r="JK76" i="7"/>
  <c r="JV76" i="7"/>
  <c r="KI76" i="7"/>
  <c r="JN76" i="7"/>
  <c r="IY76" i="7"/>
  <c r="IW76" i="7"/>
  <c r="JP76" i="7"/>
  <c r="JE76" i="7"/>
  <c r="IS76" i="7"/>
  <c r="JH76" i="7"/>
  <c r="JW76" i="7"/>
  <c r="B55" i="7" s="1"/>
  <c r="G55" i="7" s="1"/>
  <c r="JZ76" i="7"/>
  <c r="E55" i="7" s="1"/>
  <c r="J55" i="7" s="1"/>
  <c r="KK76" i="7"/>
  <c r="IZ76" i="7"/>
  <c r="IT76" i="7"/>
  <c r="JP113" i="7"/>
  <c r="IZ113" i="7"/>
  <c r="JM113" i="7"/>
  <c r="JV113" i="7"/>
  <c r="KL113" i="7"/>
  <c r="JN113" i="7"/>
  <c r="IX113" i="7"/>
  <c r="JI113" i="7"/>
  <c r="JX94" i="7"/>
  <c r="C74" i="7" s="1"/>
  <c r="H74" i="7" s="1"/>
  <c r="M74" i="7" s="1"/>
  <c r="JE94" i="7"/>
  <c r="JM94" i="7"/>
  <c r="JW94" i="7"/>
  <c r="B74" i="7" s="1"/>
  <c r="G74" i="7" s="1"/>
  <c r="L74" i="7" s="1"/>
  <c r="IW94" i="7"/>
  <c r="JD94" i="7"/>
  <c r="KJ94" i="7"/>
  <c r="JL94" i="7"/>
  <c r="IV94" i="7"/>
  <c r="KE94" i="7"/>
  <c r="JQ94" i="7"/>
  <c r="JI94" i="7"/>
  <c r="JA94" i="7"/>
  <c r="IS94" i="7"/>
  <c r="KA94" i="7"/>
  <c r="F74" i="7" s="1"/>
  <c r="K74" i="7" s="1"/>
  <c r="P74" i="7" s="1"/>
  <c r="JP94" i="7"/>
  <c r="JH94" i="7"/>
  <c r="KB81" i="7"/>
  <c r="KC81" i="7" s="1"/>
  <c r="KH81" i="7"/>
  <c r="P55" i="7"/>
  <c r="JS81" i="7"/>
  <c r="JT81" i="7" s="1"/>
  <c r="JF76" i="7"/>
  <c r="JD76" i="7"/>
  <c r="JB76" i="7"/>
  <c r="KF76" i="7"/>
  <c r="IX76" i="7"/>
  <c r="JL76" i="7"/>
  <c r="JR76" i="7"/>
  <c r="JG76" i="7"/>
  <c r="JO76" i="7"/>
  <c r="JY76" i="7"/>
  <c r="JM76" i="7"/>
  <c r="KG76" i="7"/>
  <c r="JI76" i="7"/>
  <c r="JQ76" i="7"/>
  <c r="JX76" i="7"/>
  <c r="IV76" i="7"/>
  <c r="KE76" i="7"/>
  <c r="JJ76" i="7"/>
  <c r="JA76" i="7"/>
  <c r="IR96" i="7"/>
  <c r="IT96" i="7" s="1"/>
  <c r="IR82" i="7"/>
  <c r="IX82" i="7" s="1"/>
  <c r="IR107" i="7"/>
  <c r="IV107" i="7" s="1"/>
  <c r="IR109" i="7"/>
  <c r="IS109" i="7" s="1"/>
  <c r="IR95" i="7"/>
  <c r="IX95" i="7" s="1"/>
  <c r="IR105" i="7"/>
  <c r="IZ105" i="7" s="1"/>
  <c r="KK94" i="7"/>
  <c r="KI94" i="7"/>
  <c r="JZ94" i="7"/>
  <c r="E74" i="7" s="1"/>
  <c r="J74" i="7" s="1"/>
  <c r="O74" i="7" s="1"/>
  <c r="JO94" i="7"/>
  <c r="JG94" i="7"/>
  <c r="IY94" i="7"/>
  <c r="KL94" i="7"/>
  <c r="JY94" i="7"/>
  <c r="D74" i="7" s="1"/>
  <c r="I74" i="7" s="1"/>
  <c r="N74" i="7" s="1"/>
  <c r="JN94" i="7"/>
  <c r="JF94" i="7"/>
  <c r="IX94" i="7"/>
  <c r="KG94" i="7"/>
  <c r="JV94" i="7"/>
  <c r="JK94" i="7"/>
  <c r="JC94" i="7"/>
  <c r="IU94" i="7"/>
  <c r="KF94" i="7"/>
  <c r="JR94" i="7"/>
  <c r="JJ94" i="7"/>
  <c r="JB94" i="7"/>
  <c r="IT94" i="7"/>
  <c r="KI113" i="7"/>
  <c r="JW113" i="7"/>
  <c r="B93" i="7" s="1"/>
  <c r="G93" i="7" s="1"/>
  <c r="L93" i="7" s="1"/>
  <c r="JD113" i="7"/>
  <c r="JX113" i="7"/>
  <c r="C93" i="7" s="1"/>
  <c r="H93" i="7" s="1"/>
  <c r="M93" i="7" s="1"/>
  <c r="KG113" i="7"/>
  <c r="IU113" i="7"/>
  <c r="JR113" i="7"/>
  <c r="JB113" i="7"/>
  <c r="JQ113" i="7"/>
  <c r="JZ113" i="7"/>
  <c r="E93" i="7" s="1"/>
  <c r="J93" i="7" s="1"/>
  <c r="O93" i="7" s="1"/>
  <c r="KJ113" i="7"/>
  <c r="JL113" i="7"/>
  <c r="IV113" i="7"/>
  <c r="JE113" i="7"/>
  <c r="JK113" i="7"/>
  <c r="KF113" i="7"/>
  <c r="JJ113" i="7"/>
  <c r="IT113" i="7"/>
  <c r="JA113" i="7"/>
  <c r="JG113" i="7"/>
  <c r="AI78" i="7"/>
  <c r="H92" i="4" s="1"/>
  <c r="IK98" i="7"/>
  <c r="AI56" i="7"/>
  <c r="H7" i="4" s="1"/>
  <c r="IK77" i="7"/>
  <c r="AI77" i="7"/>
  <c r="H91" i="4" s="1"/>
  <c r="IK97" i="7"/>
  <c r="AI90" i="7"/>
  <c r="H117" i="4" s="1"/>
  <c r="IK110" i="7"/>
  <c r="AI63" i="7"/>
  <c r="H19" i="4" s="1"/>
  <c r="IK83" i="7"/>
  <c r="BQ94" i="7"/>
  <c r="BR94" i="7" s="1"/>
  <c r="BP94" i="7" s="1"/>
  <c r="BQ91" i="7"/>
  <c r="HT66" i="7"/>
  <c r="BP72" i="7"/>
  <c r="EC54" i="7"/>
  <c r="EC55" i="7"/>
  <c r="CR79" i="7"/>
  <c r="CW79" i="7" s="1"/>
  <c r="BQ79" i="7" s="1"/>
  <c r="BR79" i="7" s="1"/>
  <c r="BP79" i="7" s="1"/>
  <c r="CM80" i="7"/>
  <c r="EC59" i="7"/>
  <c r="EC60" i="7"/>
  <c r="EC57" i="7"/>
  <c r="DY67" i="7"/>
  <c r="DZ67" i="7" s="1"/>
  <c r="ED67" i="7"/>
  <c r="EC61" i="7"/>
  <c r="EC66" i="7"/>
  <c r="EC58" i="7"/>
  <c r="EC56" i="7"/>
  <c r="EC65" i="7"/>
  <c r="EA65" i="7"/>
  <c r="EC62" i="7"/>
  <c r="EA62" i="7"/>
  <c r="DX68" i="7"/>
  <c r="DW69" i="7"/>
  <c r="DX69" i="7" s="1"/>
  <c r="JN103" i="7" l="1"/>
  <c r="JX103" i="7"/>
  <c r="C83" i="7" s="1"/>
  <c r="H83" i="7" s="1"/>
  <c r="M83" i="7" s="1"/>
  <c r="IW103" i="7"/>
  <c r="JM103" i="7"/>
  <c r="KJ103" i="7"/>
  <c r="JF103" i="7"/>
  <c r="JY103" i="7"/>
  <c r="D83" i="7" s="1"/>
  <c r="I83" i="7" s="1"/>
  <c r="N83" i="7" s="1"/>
  <c r="KM113" i="7"/>
  <c r="KN113" i="7" s="1"/>
  <c r="IN113" i="7" s="1"/>
  <c r="BX93" i="7" s="1"/>
  <c r="BY93" i="7" s="1"/>
  <c r="AK93" i="7" s="1"/>
  <c r="KM76" i="7"/>
  <c r="KN76" i="7" s="1"/>
  <c r="IN76" i="7" s="1"/>
  <c r="BX56" i="7" s="1"/>
  <c r="BY56" i="7" s="1"/>
  <c r="AK55" i="7" s="1"/>
  <c r="IS103" i="7"/>
  <c r="JA103" i="7"/>
  <c r="JI103" i="7"/>
  <c r="JQ103" i="7"/>
  <c r="KE103" i="7"/>
  <c r="IT103" i="7"/>
  <c r="JB103" i="7"/>
  <c r="JJ103" i="7"/>
  <c r="JR103" i="7"/>
  <c r="KF103" i="7"/>
  <c r="IR116" i="7"/>
  <c r="IS116" i="7" s="1"/>
  <c r="IU103" i="7"/>
  <c r="IY103" i="7"/>
  <c r="JC103" i="7"/>
  <c r="JG103" i="7"/>
  <c r="JK103" i="7"/>
  <c r="JO103" i="7"/>
  <c r="JV103" i="7"/>
  <c r="JZ103" i="7"/>
  <c r="E83" i="7" s="1"/>
  <c r="J83" i="7" s="1"/>
  <c r="O83" i="7" s="1"/>
  <c r="KG103" i="7"/>
  <c r="KL103" i="7"/>
  <c r="KM103" i="7" s="1"/>
  <c r="KN103" i="7" s="1"/>
  <c r="IN103" i="7" s="1"/>
  <c r="BX83" i="7" s="1"/>
  <c r="BY83" i="7" s="1"/>
  <c r="AK83" i="7" s="1"/>
  <c r="IV103" i="7"/>
  <c r="IZ103" i="7"/>
  <c r="JD103" i="7"/>
  <c r="JH103" i="7"/>
  <c r="JL103" i="7"/>
  <c r="JP103" i="7"/>
  <c r="JW103" i="7"/>
  <c r="B83" i="7" s="1"/>
  <c r="G83" i="7" s="1"/>
  <c r="L83" i="7" s="1"/>
  <c r="KA103" i="7"/>
  <c r="F83" i="7" s="1"/>
  <c r="K83" i="7" s="1"/>
  <c r="P83" i="7" s="1"/>
  <c r="H118" i="4"/>
  <c r="JR95" i="7"/>
  <c r="IY107" i="7"/>
  <c r="JR96" i="7"/>
  <c r="KJ105" i="7"/>
  <c r="JS76" i="7"/>
  <c r="JT76" i="7" s="1"/>
  <c r="JN109" i="7"/>
  <c r="KF82" i="7"/>
  <c r="IZ116" i="7"/>
  <c r="JK109" i="7"/>
  <c r="JV82" i="7"/>
  <c r="IT82" i="7"/>
  <c r="JQ116" i="7"/>
  <c r="JD96" i="7"/>
  <c r="JK95" i="7"/>
  <c r="JX105" i="7"/>
  <c r="C85" i="7" s="1"/>
  <c r="H85" i="7" s="1"/>
  <c r="M85" i="7" s="1"/>
  <c r="IV105" i="7"/>
  <c r="JH107" i="7"/>
  <c r="IX109" i="7"/>
  <c r="JQ109" i="7"/>
  <c r="JC82" i="7"/>
  <c r="JJ82" i="7"/>
  <c r="JP116" i="7"/>
  <c r="KH94" i="7"/>
  <c r="IW96" i="7"/>
  <c r="JK96" i="7"/>
  <c r="KG95" i="7"/>
  <c r="IU95" i="7"/>
  <c r="JB95" i="7"/>
  <c r="JE105" i="7"/>
  <c r="JL105" i="7"/>
  <c r="JO107" i="7"/>
  <c r="KA107" i="7"/>
  <c r="F87" i="7" s="1"/>
  <c r="K87" i="7" s="1"/>
  <c r="P87" i="7" s="1"/>
  <c r="JM96" i="7"/>
  <c r="JW96" i="7"/>
  <c r="B76" i="7" s="1"/>
  <c r="G76" i="7" s="1"/>
  <c r="L76" i="7" s="1"/>
  <c r="KG96" i="7"/>
  <c r="IU96" i="7"/>
  <c r="JB96" i="7"/>
  <c r="JV95" i="7"/>
  <c r="JC95" i="7"/>
  <c r="KF95" i="7"/>
  <c r="JJ95" i="7"/>
  <c r="IT95" i="7"/>
  <c r="JM105" i="7"/>
  <c r="IW105" i="7"/>
  <c r="JW105" i="7"/>
  <c r="B85" i="7" s="1"/>
  <c r="G85" i="7" s="1"/>
  <c r="L85" i="7" s="1"/>
  <c r="JD105" i="7"/>
  <c r="JZ107" i="7"/>
  <c r="E87" i="7" s="1"/>
  <c r="J87" i="7" s="1"/>
  <c r="O87" i="7" s="1"/>
  <c r="JG107" i="7"/>
  <c r="KI107" i="7"/>
  <c r="JP107" i="7"/>
  <c r="IZ107" i="7"/>
  <c r="KH113" i="7"/>
  <c r="JY109" i="7"/>
  <c r="D89" i="7" s="1"/>
  <c r="I89" i="7" s="1"/>
  <c r="N89" i="7" s="1"/>
  <c r="JF109" i="7"/>
  <c r="KG109" i="7"/>
  <c r="IU109" i="7"/>
  <c r="JA109" i="7"/>
  <c r="KG82" i="7"/>
  <c r="JK82" i="7"/>
  <c r="IU82" i="7"/>
  <c r="JR82" i="7"/>
  <c r="JB82" i="7"/>
  <c r="KA116" i="7"/>
  <c r="F97" i="7" s="1"/>
  <c r="K97" i="7" s="1"/>
  <c r="P97" i="7" s="1"/>
  <c r="KG116" i="7"/>
  <c r="JA116" i="7"/>
  <c r="L55" i="7"/>
  <c r="O55" i="7"/>
  <c r="D55" i="7"/>
  <c r="I55" i="7" s="1"/>
  <c r="KB94" i="7"/>
  <c r="KC94" i="7" s="1"/>
  <c r="C55" i="7"/>
  <c r="H55" i="7" s="1"/>
  <c r="JS94" i="7"/>
  <c r="JT94" i="7" s="1"/>
  <c r="KB113" i="7"/>
  <c r="KC113" i="7" s="1"/>
  <c r="KH76" i="7"/>
  <c r="KB76" i="7"/>
  <c r="KC76" i="7" s="1"/>
  <c r="JX96" i="7"/>
  <c r="C76" i="7" s="1"/>
  <c r="H76" i="7" s="1"/>
  <c r="M76" i="7" s="1"/>
  <c r="JE96" i="7"/>
  <c r="KJ96" i="7"/>
  <c r="JL96" i="7"/>
  <c r="IV96" i="7"/>
  <c r="JV96" i="7"/>
  <c r="JC96" i="7"/>
  <c r="KF96" i="7"/>
  <c r="JJ96" i="7"/>
  <c r="JZ95" i="7"/>
  <c r="E75" i="7" s="1"/>
  <c r="J75" i="7" s="1"/>
  <c r="O75" i="7" s="1"/>
  <c r="JO95" i="7"/>
  <c r="JG95" i="7"/>
  <c r="IY95" i="7"/>
  <c r="KL95" i="7"/>
  <c r="JY95" i="7"/>
  <c r="D75" i="7" s="1"/>
  <c r="I75" i="7" s="1"/>
  <c r="N75" i="7" s="1"/>
  <c r="JN95" i="7"/>
  <c r="JF95" i="7"/>
  <c r="KE105" i="7"/>
  <c r="JQ105" i="7"/>
  <c r="JI105" i="7"/>
  <c r="JA105" i="7"/>
  <c r="IS105" i="7"/>
  <c r="KA105" i="7"/>
  <c r="F85" i="7" s="1"/>
  <c r="K85" i="7" s="1"/>
  <c r="P85" i="7" s="1"/>
  <c r="JP105" i="7"/>
  <c r="JH105" i="7"/>
  <c r="KF109" i="7"/>
  <c r="JR109" i="7"/>
  <c r="JJ109" i="7"/>
  <c r="JB109" i="7"/>
  <c r="IT109" i="7"/>
  <c r="JV109" i="7"/>
  <c r="JC109" i="7"/>
  <c r="KE109" i="7"/>
  <c r="JI109" i="7"/>
  <c r="JV107" i="7"/>
  <c r="JK107" i="7"/>
  <c r="JC107" i="7"/>
  <c r="IU107" i="7"/>
  <c r="KJ107" i="7"/>
  <c r="JW107" i="7"/>
  <c r="B87" i="7" s="1"/>
  <c r="G87" i="7" s="1"/>
  <c r="L87" i="7" s="1"/>
  <c r="JL107" i="7"/>
  <c r="JD107" i="7"/>
  <c r="JZ82" i="7"/>
  <c r="E62" i="7" s="1"/>
  <c r="J62" i="7" s="1"/>
  <c r="O62" i="7" s="1"/>
  <c r="JO82" i="7"/>
  <c r="JG82" i="7"/>
  <c r="IY82" i="7"/>
  <c r="KL82" i="7"/>
  <c r="JY82" i="7"/>
  <c r="D62" i="7" s="1"/>
  <c r="I62" i="7" s="1"/>
  <c r="N62" i="7" s="1"/>
  <c r="JN82" i="7"/>
  <c r="JF82" i="7"/>
  <c r="KJ116" i="7"/>
  <c r="JL116" i="7"/>
  <c r="IV116" i="7"/>
  <c r="JC116" i="7"/>
  <c r="JI116" i="7"/>
  <c r="KK105" i="7"/>
  <c r="KG105" i="7"/>
  <c r="JV105" i="7"/>
  <c r="JK105" i="7"/>
  <c r="JC105" i="7"/>
  <c r="IU105" i="7"/>
  <c r="KF105" i="7"/>
  <c r="JR105" i="7"/>
  <c r="JJ105" i="7"/>
  <c r="JB105" i="7"/>
  <c r="IT105" i="7"/>
  <c r="KI105" i="7"/>
  <c r="JZ105" i="7"/>
  <c r="E85" i="7" s="1"/>
  <c r="J85" i="7" s="1"/>
  <c r="O85" i="7" s="1"/>
  <c r="JO105" i="7"/>
  <c r="JG105" i="7"/>
  <c r="IY105" i="7"/>
  <c r="KL105" i="7"/>
  <c r="JY105" i="7"/>
  <c r="D85" i="7" s="1"/>
  <c r="I85" i="7" s="1"/>
  <c r="N85" i="7" s="1"/>
  <c r="JN105" i="7"/>
  <c r="JF105" i="7"/>
  <c r="IX105" i="7"/>
  <c r="KI116" i="7"/>
  <c r="JR116" i="7"/>
  <c r="JB116" i="7"/>
  <c r="JO116" i="7"/>
  <c r="JX116" i="7"/>
  <c r="C97" i="7" s="1"/>
  <c r="H97" i="7" s="1"/>
  <c r="M97" i="7" s="1"/>
  <c r="KL116" i="7"/>
  <c r="JN116" i="7"/>
  <c r="IX116" i="7"/>
  <c r="JG116" i="7"/>
  <c r="JM116" i="7"/>
  <c r="KI95" i="7"/>
  <c r="KK95" i="7"/>
  <c r="JX95" i="7"/>
  <c r="C75" i="7" s="1"/>
  <c r="H75" i="7" s="1"/>
  <c r="M75" i="7" s="1"/>
  <c r="JM95" i="7"/>
  <c r="JE95" i="7"/>
  <c r="IW95" i="7"/>
  <c r="KJ95" i="7"/>
  <c r="JW95" i="7"/>
  <c r="B75" i="7" s="1"/>
  <c r="G75" i="7" s="1"/>
  <c r="L75" i="7" s="1"/>
  <c r="JL95" i="7"/>
  <c r="JD95" i="7"/>
  <c r="IV95" i="7"/>
  <c r="KE95" i="7"/>
  <c r="KH95" i="7" s="1"/>
  <c r="JQ95" i="7"/>
  <c r="JI95" i="7"/>
  <c r="JA95" i="7"/>
  <c r="IS95" i="7"/>
  <c r="KA95" i="7"/>
  <c r="F75" i="7" s="1"/>
  <c r="K75" i="7" s="1"/>
  <c r="P75" i="7" s="1"/>
  <c r="JP95" i="7"/>
  <c r="JH95" i="7"/>
  <c r="IZ95" i="7"/>
  <c r="KL109" i="7"/>
  <c r="KA109" i="7"/>
  <c r="F89" i="7" s="1"/>
  <c r="K89" i="7" s="1"/>
  <c r="P89" i="7" s="1"/>
  <c r="JP109" i="7"/>
  <c r="JH109" i="7"/>
  <c r="IZ109" i="7"/>
  <c r="KI109" i="7"/>
  <c r="JO109" i="7"/>
  <c r="IY109" i="7"/>
  <c r="JX109" i="7"/>
  <c r="C89" i="7" s="1"/>
  <c r="H89" i="7" s="1"/>
  <c r="M89" i="7" s="1"/>
  <c r="JE109" i="7"/>
  <c r="KJ109" i="7"/>
  <c r="JW109" i="7"/>
  <c r="B89" i="7" s="1"/>
  <c r="G89" i="7" s="1"/>
  <c r="L89" i="7" s="1"/>
  <c r="JL109" i="7"/>
  <c r="JD109" i="7"/>
  <c r="IV109" i="7"/>
  <c r="JZ109" i="7"/>
  <c r="E89" i="7" s="1"/>
  <c r="J89" i="7" s="1"/>
  <c r="O89" i="7" s="1"/>
  <c r="JG109" i="7"/>
  <c r="KK109" i="7"/>
  <c r="JM109" i="7"/>
  <c r="IW109" i="7"/>
  <c r="KG107" i="7"/>
  <c r="KK107" i="7"/>
  <c r="JX107" i="7"/>
  <c r="C87" i="7" s="1"/>
  <c r="H87" i="7" s="1"/>
  <c r="M87" i="7" s="1"/>
  <c r="JM107" i="7"/>
  <c r="JE107" i="7"/>
  <c r="IW107" i="7"/>
  <c r="KL107" i="7"/>
  <c r="JY107" i="7"/>
  <c r="D87" i="7" s="1"/>
  <c r="I87" i="7" s="1"/>
  <c r="N87" i="7" s="1"/>
  <c r="JN107" i="7"/>
  <c r="JF107" i="7"/>
  <c r="IX107" i="7"/>
  <c r="KE107" i="7"/>
  <c r="JQ107" i="7"/>
  <c r="JI107" i="7"/>
  <c r="JA107" i="7"/>
  <c r="IS107" i="7"/>
  <c r="KF107" i="7"/>
  <c r="JR107" i="7"/>
  <c r="JJ107" i="7"/>
  <c r="JB107" i="7"/>
  <c r="IT107" i="7"/>
  <c r="KI82" i="7"/>
  <c r="KK82" i="7"/>
  <c r="JX82" i="7"/>
  <c r="C62" i="7" s="1"/>
  <c r="H62" i="7" s="1"/>
  <c r="M62" i="7" s="1"/>
  <c r="JM82" i="7"/>
  <c r="JE82" i="7"/>
  <c r="IW82" i="7"/>
  <c r="KJ82" i="7"/>
  <c r="JW82" i="7"/>
  <c r="B62" i="7" s="1"/>
  <c r="G62" i="7" s="1"/>
  <c r="L62" i="7" s="1"/>
  <c r="JL82" i="7"/>
  <c r="JD82" i="7"/>
  <c r="IV82" i="7"/>
  <c r="KE82" i="7"/>
  <c r="JQ82" i="7"/>
  <c r="JI82" i="7"/>
  <c r="JA82" i="7"/>
  <c r="IS82" i="7"/>
  <c r="KA82" i="7"/>
  <c r="F62" i="7" s="1"/>
  <c r="K62" i="7" s="1"/>
  <c r="P62" i="7" s="1"/>
  <c r="JP82" i="7"/>
  <c r="JH82" i="7"/>
  <c r="IZ82" i="7"/>
  <c r="KK96" i="7"/>
  <c r="KE96" i="7"/>
  <c r="JI96" i="7"/>
  <c r="IS96" i="7"/>
  <c r="JP96" i="7"/>
  <c r="IZ96" i="7"/>
  <c r="JZ96" i="7"/>
  <c r="E76" i="7" s="1"/>
  <c r="J76" i="7" s="1"/>
  <c r="O76" i="7" s="1"/>
  <c r="JG96" i="7"/>
  <c r="KL96" i="7"/>
  <c r="JN96" i="7"/>
  <c r="IX96" i="7"/>
  <c r="JQ96" i="7"/>
  <c r="JA96" i="7"/>
  <c r="KA96" i="7"/>
  <c r="F76" i="7" s="1"/>
  <c r="K76" i="7" s="1"/>
  <c r="P76" i="7" s="1"/>
  <c r="JH96" i="7"/>
  <c r="KI96" i="7"/>
  <c r="JO96" i="7"/>
  <c r="IY96" i="7"/>
  <c r="JY96" i="7"/>
  <c r="D76" i="7" s="1"/>
  <c r="I76" i="7" s="1"/>
  <c r="N76" i="7" s="1"/>
  <c r="JF96" i="7"/>
  <c r="IR83" i="7"/>
  <c r="IV83" i="7" s="1"/>
  <c r="IR110" i="7"/>
  <c r="IY110" i="7" s="1"/>
  <c r="IR97" i="7"/>
  <c r="IX97" i="7" s="1"/>
  <c r="IR77" i="7"/>
  <c r="IR98" i="7"/>
  <c r="IZ98" i="7" s="1"/>
  <c r="JS113" i="7"/>
  <c r="JT113" i="7" s="1"/>
  <c r="KM94" i="7"/>
  <c r="KN94" i="7" s="1"/>
  <c r="IN94" i="7" s="1"/>
  <c r="BX74" i="7" s="1"/>
  <c r="BY88" i="7"/>
  <c r="AK88" i="7" s="1"/>
  <c r="AI79" i="7"/>
  <c r="H95" i="4" s="1"/>
  <c r="IK99" i="7"/>
  <c r="AI72" i="7"/>
  <c r="H86" i="4" s="1"/>
  <c r="IK92" i="7"/>
  <c r="AI94" i="7"/>
  <c r="H122" i="4" s="1"/>
  <c r="IK114" i="7"/>
  <c r="IZ83" i="7"/>
  <c r="BR91" i="7"/>
  <c r="BP91" i="7" s="1"/>
  <c r="HW58" i="7"/>
  <c r="CM73" i="7" s="1"/>
  <c r="CR73" i="7" s="1"/>
  <c r="HX58" i="7"/>
  <c r="CO73" i="7" s="1"/>
  <c r="CS73" i="7" s="1"/>
  <c r="EA58" i="7"/>
  <c r="DY69" i="7"/>
  <c r="ED69" i="7"/>
  <c r="EK69" i="7" s="1"/>
  <c r="EA67" i="7"/>
  <c r="EC67" i="7"/>
  <c r="EB67" i="7"/>
  <c r="EA56" i="7"/>
  <c r="EA60" i="7"/>
  <c r="ED68" i="7"/>
  <c r="EK68" i="7" s="1"/>
  <c r="DY68" i="7"/>
  <c r="EA70" i="7" s="1"/>
  <c r="CM81" i="7"/>
  <c r="CR80" i="7"/>
  <c r="CW80" i="7" s="1"/>
  <c r="BQ80" i="7" s="1"/>
  <c r="BR80" i="7" s="1"/>
  <c r="EA66" i="7"/>
  <c r="EA61" i="7"/>
  <c r="EA57" i="7"/>
  <c r="EA59" i="7"/>
  <c r="EA55" i="7"/>
  <c r="EA54" i="7"/>
  <c r="IW116" i="7" l="1"/>
  <c r="KK116" i="7"/>
  <c r="JZ116" i="7"/>
  <c r="E97" i="7" s="1"/>
  <c r="J97" i="7" s="1"/>
  <c r="O97" i="7" s="1"/>
  <c r="JF116" i="7"/>
  <c r="JY116" i="7"/>
  <c r="D97" i="7" s="1"/>
  <c r="I97" i="7" s="1"/>
  <c r="N97" i="7" s="1"/>
  <c r="JE116" i="7"/>
  <c r="IY116" i="7"/>
  <c r="IT116" i="7"/>
  <c r="JJ116" i="7"/>
  <c r="KF116" i="7"/>
  <c r="KE116" i="7"/>
  <c r="JV116" i="7"/>
  <c r="JD116" i="7"/>
  <c r="JW116" i="7"/>
  <c r="B97" i="7" s="1"/>
  <c r="G97" i="7" s="1"/>
  <c r="L97" i="7" s="1"/>
  <c r="IU116" i="7"/>
  <c r="JH116" i="7"/>
  <c r="JK116" i="7"/>
  <c r="KH103" i="7"/>
  <c r="JS103" i="7"/>
  <c r="JT103" i="7" s="1"/>
  <c r="KB103" i="7"/>
  <c r="KC103" i="7" s="1"/>
  <c r="IT77" i="7"/>
  <c r="H94" i="4"/>
  <c r="JV97" i="7"/>
  <c r="JD98" i="7"/>
  <c r="IT97" i="7"/>
  <c r="KE83" i="7"/>
  <c r="JR110" i="7"/>
  <c r="JF77" i="7"/>
  <c r="KF97" i="7"/>
  <c r="IW98" i="7"/>
  <c r="IS83" i="7"/>
  <c r="JC97" i="7"/>
  <c r="JJ97" i="7"/>
  <c r="JM98" i="7"/>
  <c r="JW98" i="7"/>
  <c r="B78" i="7" s="1"/>
  <c r="G78" i="7" s="1"/>
  <c r="L78" i="7" s="1"/>
  <c r="JI83" i="7"/>
  <c r="JP83" i="7"/>
  <c r="JQ110" i="7"/>
  <c r="IY77" i="7"/>
  <c r="JS109" i="7"/>
  <c r="JT109" i="7" s="1"/>
  <c r="KH105" i="7"/>
  <c r="KG97" i="7"/>
  <c r="JK97" i="7"/>
  <c r="IU97" i="7"/>
  <c r="JR97" i="7"/>
  <c r="JB97" i="7"/>
  <c r="JX98" i="7"/>
  <c r="C78" i="7" s="1"/>
  <c r="H78" i="7" s="1"/>
  <c r="M78" i="7" s="1"/>
  <c r="JE98" i="7"/>
  <c r="KJ98" i="7"/>
  <c r="JL98" i="7"/>
  <c r="IV98" i="7"/>
  <c r="JQ83" i="7"/>
  <c r="JA83" i="7"/>
  <c r="KA83" i="7"/>
  <c r="F63" i="7" s="1"/>
  <c r="K63" i="7" s="1"/>
  <c r="P63" i="7" s="1"/>
  <c r="JH83" i="7"/>
  <c r="KH82" i="7"/>
  <c r="JB110" i="7"/>
  <c r="JZ110" i="7"/>
  <c r="E90" i="7" s="1"/>
  <c r="J90" i="7" s="1"/>
  <c r="O90" i="7" s="1"/>
  <c r="JO77" i="7"/>
  <c r="JY77" i="7"/>
  <c r="D56" i="7" s="1"/>
  <c r="I56" i="7" s="1"/>
  <c r="N56" i="7" s="1"/>
  <c r="KF110" i="7"/>
  <c r="JJ110" i="7"/>
  <c r="IT110" i="7"/>
  <c r="JA110" i="7"/>
  <c r="JG110" i="7"/>
  <c r="JZ77" i="7"/>
  <c r="E56" i="7" s="1"/>
  <c r="J56" i="7" s="1"/>
  <c r="O56" i="7" s="1"/>
  <c r="JG77" i="7"/>
  <c r="KL77" i="7"/>
  <c r="JN77" i="7"/>
  <c r="IX77" i="7"/>
  <c r="M55" i="7"/>
  <c r="N55" i="7"/>
  <c r="KH116" i="7"/>
  <c r="KB107" i="7"/>
  <c r="KC107" i="7" s="1"/>
  <c r="JS105" i="7"/>
  <c r="JT105" i="7" s="1"/>
  <c r="JY110" i="7"/>
  <c r="D90" i="7" s="1"/>
  <c r="I90" i="7" s="1"/>
  <c r="N90" i="7" s="1"/>
  <c r="JN110" i="7"/>
  <c r="JF110" i="7"/>
  <c r="IX110" i="7"/>
  <c r="KE110" i="7"/>
  <c r="JI110" i="7"/>
  <c r="IS110" i="7"/>
  <c r="JO110" i="7"/>
  <c r="JZ97" i="7"/>
  <c r="E77" i="7" s="1"/>
  <c r="J77" i="7" s="1"/>
  <c r="O77" i="7" s="1"/>
  <c r="JO97" i="7"/>
  <c r="JG97" i="7"/>
  <c r="IY97" i="7"/>
  <c r="KL97" i="7"/>
  <c r="JY97" i="7"/>
  <c r="D77" i="7" s="1"/>
  <c r="I77" i="7" s="1"/>
  <c r="N77" i="7" s="1"/>
  <c r="JN97" i="7"/>
  <c r="JF97" i="7"/>
  <c r="KE98" i="7"/>
  <c r="JQ98" i="7"/>
  <c r="JI98" i="7"/>
  <c r="JA98" i="7"/>
  <c r="IS98" i="7"/>
  <c r="KA98" i="7"/>
  <c r="F78" i="7" s="1"/>
  <c r="K78" i="7" s="1"/>
  <c r="P78" i="7" s="1"/>
  <c r="JP98" i="7"/>
  <c r="JH98" i="7"/>
  <c r="KG77" i="7"/>
  <c r="JV77" i="7"/>
  <c r="JK77" i="7"/>
  <c r="JC77" i="7"/>
  <c r="IU77" i="7"/>
  <c r="KF77" i="7"/>
  <c r="JR77" i="7"/>
  <c r="JJ77" i="7"/>
  <c r="JB77" i="7"/>
  <c r="JX83" i="7"/>
  <c r="C63" i="7" s="1"/>
  <c r="H63" i="7" s="1"/>
  <c r="M63" i="7" s="1"/>
  <c r="JM83" i="7"/>
  <c r="JE83" i="7"/>
  <c r="IW83" i="7"/>
  <c r="KJ83" i="7"/>
  <c r="JW83" i="7"/>
  <c r="B63" i="7" s="1"/>
  <c r="G63" i="7" s="1"/>
  <c r="L63" i="7" s="1"/>
  <c r="JL83" i="7"/>
  <c r="JD83" i="7"/>
  <c r="JS96" i="7"/>
  <c r="JT96" i="7" s="1"/>
  <c r="KH96" i="7"/>
  <c r="KM82" i="7"/>
  <c r="KN82" i="7" s="1"/>
  <c r="IN82" i="7" s="1"/>
  <c r="BX62" i="7" s="1"/>
  <c r="BY62" i="7" s="1"/>
  <c r="AK62" i="7" s="1"/>
  <c r="KM95" i="7"/>
  <c r="KN95" i="7" s="1"/>
  <c r="IN95" i="7" s="1"/>
  <c r="BX75" i="7" s="1"/>
  <c r="BY75" i="7" s="1"/>
  <c r="AK75" i="7" s="1"/>
  <c r="KB105" i="7"/>
  <c r="KC105" i="7" s="1"/>
  <c r="KH109" i="7"/>
  <c r="KB95" i="7"/>
  <c r="KC95" i="7" s="1"/>
  <c r="KB109" i="7"/>
  <c r="KC109" i="7" s="1"/>
  <c r="KM96" i="7"/>
  <c r="KN96" i="7" s="1"/>
  <c r="IN96" i="7" s="1"/>
  <c r="BX76" i="7" s="1"/>
  <c r="BY76" i="7" s="1"/>
  <c r="AK76" i="7" s="1"/>
  <c r="KB96" i="7"/>
  <c r="KC96" i="7" s="1"/>
  <c r="KH107" i="7"/>
  <c r="KM107" i="7"/>
  <c r="KN107" i="7" s="1"/>
  <c r="IN107" i="7" s="1"/>
  <c r="BX87" i="7" s="1"/>
  <c r="KM116" i="7"/>
  <c r="KN116" i="7" s="1"/>
  <c r="IN116" i="7" s="1"/>
  <c r="BX96" i="7" s="1"/>
  <c r="BY96" i="7" s="1"/>
  <c r="AK97" i="7" s="1"/>
  <c r="KK98" i="7"/>
  <c r="KI98" i="7"/>
  <c r="JZ98" i="7"/>
  <c r="E78" i="7" s="1"/>
  <c r="J78" i="7" s="1"/>
  <c r="O78" i="7" s="1"/>
  <c r="JO98" i="7"/>
  <c r="JG98" i="7"/>
  <c r="IY98" i="7"/>
  <c r="KL98" i="7"/>
  <c r="JY98" i="7"/>
  <c r="D78" i="7" s="1"/>
  <c r="I78" i="7" s="1"/>
  <c r="N78" i="7" s="1"/>
  <c r="JN98" i="7"/>
  <c r="JF98" i="7"/>
  <c r="IX98" i="7"/>
  <c r="KG98" i="7"/>
  <c r="JV98" i="7"/>
  <c r="JK98" i="7"/>
  <c r="JC98" i="7"/>
  <c r="IU98" i="7"/>
  <c r="KF98" i="7"/>
  <c r="JR98" i="7"/>
  <c r="JJ98" i="7"/>
  <c r="JB98" i="7"/>
  <c r="IT98" i="7"/>
  <c r="KI77" i="7"/>
  <c r="KK77" i="7"/>
  <c r="JX77" i="7"/>
  <c r="JM77" i="7"/>
  <c r="JE77" i="7"/>
  <c r="IW77" i="7"/>
  <c r="KJ77" i="7"/>
  <c r="JW77" i="7"/>
  <c r="JL77" i="7"/>
  <c r="JD77" i="7"/>
  <c r="IV77" i="7"/>
  <c r="KE77" i="7"/>
  <c r="JQ77" i="7"/>
  <c r="JI77" i="7"/>
  <c r="JA77" i="7"/>
  <c r="IS77" i="7"/>
  <c r="KA77" i="7"/>
  <c r="F56" i="7" s="1"/>
  <c r="K56" i="7" s="1"/>
  <c r="P56" i="7" s="1"/>
  <c r="JP77" i="7"/>
  <c r="JH77" i="7"/>
  <c r="IZ77" i="7"/>
  <c r="KI97" i="7"/>
  <c r="KE97" i="7"/>
  <c r="JQ97" i="7"/>
  <c r="JI97" i="7"/>
  <c r="JA97" i="7"/>
  <c r="IS97" i="7"/>
  <c r="KA97" i="7"/>
  <c r="F77" i="7" s="1"/>
  <c r="K77" i="7" s="1"/>
  <c r="P77" i="7" s="1"/>
  <c r="JP97" i="7"/>
  <c r="JH97" i="7"/>
  <c r="IZ97" i="7"/>
  <c r="KK97" i="7"/>
  <c r="JX97" i="7"/>
  <c r="JM97" i="7"/>
  <c r="JE97" i="7"/>
  <c r="IW97" i="7"/>
  <c r="KJ97" i="7"/>
  <c r="JW97" i="7"/>
  <c r="B77" i="7" s="1"/>
  <c r="G77" i="7" s="1"/>
  <c r="L77" i="7" s="1"/>
  <c r="JL97" i="7"/>
  <c r="JD97" i="7"/>
  <c r="IV97" i="7"/>
  <c r="KL110" i="7"/>
  <c r="KI110" i="7"/>
  <c r="KA110" i="7"/>
  <c r="F90" i="7" s="1"/>
  <c r="K90" i="7" s="1"/>
  <c r="P90" i="7" s="1"/>
  <c r="JP110" i="7"/>
  <c r="JH110" i="7"/>
  <c r="IZ110" i="7"/>
  <c r="KK110" i="7"/>
  <c r="JM110" i="7"/>
  <c r="IW110" i="7"/>
  <c r="JV110" i="7"/>
  <c r="JC110" i="7"/>
  <c r="KJ110" i="7"/>
  <c r="JW110" i="7"/>
  <c r="B90" i="7" s="1"/>
  <c r="G90" i="7" s="1"/>
  <c r="L90" i="7" s="1"/>
  <c r="JL110" i="7"/>
  <c r="JD110" i="7"/>
  <c r="IV110" i="7"/>
  <c r="JX110" i="7"/>
  <c r="C90" i="7" s="1"/>
  <c r="H90" i="7" s="1"/>
  <c r="M90" i="7" s="1"/>
  <c r="JE110" i="7"/>
  <c r="KG110" i="7"/>
  <c r="JK110" i="7"/>
  <c r="IU110" i="7"/>
  <c r="KK83" i="7"/>
  <c r="KG83" i="7"/>
  <c r="JV83" i="7"/>
  <c r="JC83" i="7"/>
  <c r="IU83" i="7"/>
  <c r="JR83" i="7"/>
  <c r="JB83" i="7"/>
  <c r="KI83" i="7"/>
  <c r="JZ83" i="7"/>
  <c r="E63" i="7" s="1"/>
  <c r="J63" i="7" s="1"/>
  <c r="O63" i="7" s="1"/>
  <c r="JO83" i="7"/>
  <c r="JG83" i="7"/>
  <c r="IY83" i="7"/>
  <c r="KL83" i="7"/>
  <c r="JY83" i="7"/>
  <c r="D63" i="7" s="1"/>
  <c r="I63" i="7" s="1"/>
  <c r="N63" i="7" s="1"/>
  <c r="JN83" i="7"/>
  <c r="JF83" i="7"/>
  <c r="IX83" i="7"/>
  <c r="JK83" i="7"/>
  <c r="KF83" i="7"/>
  <c r="JJ83" i="7"/>
  <c r="IT83" i="7"/>
  <c r="JS107" i="7"/>
  <c r="JT107" i="7" s="1"/>
  <c r="JS95" i="7"/>
  <c r="JT95" i="7" s="1"/>
  <c r="KM105" i="7"/>
  <c r="KN105" i="7" s="1"/>
  <c r="IN105" i="7" s="1"/>
  <c r="BX85" i="7" s="1"/>
  <c r="IR114" i="7"/>
  <c r="IS114" i="7" s="1"/>
  <c r="IR92" i="7"/>
  <c r="IX92" i="7" s="1"/>
  <c r="IR99" i="7"/>
  <c r="IZ99" i="7" s="1"/>
  <c r="JS82" i="7"/>
  <c r="JT82" i="7" s="1"/>
  <c r="KB82" i="7"/>
  <c r="KC82" i="7" s="1"/>
  <c r="KM109" i="7"/>
  <c r="KN109" i="7" s="1"/>
  <c r="IN109" i="7" s="1"/>
  <c r="BX89" i="7" s="1"/>
  <c r="BY89" i="7" s="1"/>
  <c r="AK89" i="7" s="1"/>
  <c r="BY64" i="7"/>
  <c r="AK64" i="7" s="1"/>
  <c r="BP80" i="7"/>
  <c r="IK100" i="7" s="1"/>
  <c r="AI91" i="7"/>
  <c r="H119" i="4" s="1"/>
  <c r="IK111" i="7"/>
  <c r="CW73" i="7"/>
  <c r="BQ73" i="7" s="1"/>
  <c r="BR73" i="7" s="1"/>
  <c r="BP73" i="7" s="1"/>
  <c r="CM82" i="7"/>
  <c r="CR81" i="7"/>
  <c r="CW81" i="7" s="1"/>
  <c r="BQ81" i="7" s="1"/>
  <c r="BR81" i="7" s="1"/>
  <c r="BP81" i="7" s="1"/>
  <c r="IK101" i="7" s="1"/>
  <c r="EE67" i="7"/>
  <c r="EF67" i="7" s="1"/>
  <c r="EG67" i="7" s="1"/>
  <c r="EH67" i="7" s="1"/>
  <c r="EI67" i="7" s="1"/>
  <c r="EJ67" i="7" s="1"/>
  <c r="EK67" i="7" s="1"/>
  <c r="EB66" i="7"/>
  <c r="KB116" i="7" l="1"/>
  <c r="KC116" i="7" s="1"/>
  <c r="JS116" i="7"/>
  <c r="JT116" i="7" s="1"/>
  <c r="H93" i="4"/>
  <c r="JJ114" i="7"/>
  <c r="JS110" i="7"/>
  <c r="JT110" i="7" s="1"/>
  <c r="KH97" i="7"/>
  <c r="KH77" i="7"/>
  <c r="KM97" i="7"/>
  <c r="KN97" i="7" s="1"/>
  <c r="IN97" i="7" s="1"/>
  <c r="BX77" i="7" s="1"/>
  <c r="BY77" i="7" s="1"/>
  <c r="AK77" i="7" s="1"/>
  <c r="JS83" i="7"/>
  <c r="JT83" i="7" s="1"/>
  <c r="KB110" i="7"/>
  <c r="KC110" i="7" s="1"/>
  <c r="IV99" i="7"/>
  <c r="KH83" i="7"/>
  <c r="KM110" i="7"/>
  <c r="KN110" i="7" s="1"/>
  <c r="IN110" i="7" s="1"/>
  <c r="BX90" i="7" s="1"/>
  <c r="BY90" i="7" s="1"/>
  <c r="AK90" i="7" s="1"/>
  <c r="KH98" i="7"/>
  <c r="KB97" i="7"/>
  <c r="KC97" i="7" s="1"/>
  <c r="C77" i="7"/>
  <c r="H77" i="7" s="1"/>
  <c r="M77" i="7" s="1"/>
  <c r="KB77" i="7"/>
  <c r="KC77" i="7" s="1"/>
  <c r="B56" i="7"/>
  <c r="G56" i="7" s="1"/>
  <c r="L56" i="7" s="1"/>
  <c r="KB98" i="7"/>
  <c r="KC98" i="7" s="1"/>
  <c r="JS98" i="7"/>
  <c r="JT98" i="7" s="1"/>
  <c r="C56" i="7"/>
  <c r="H56" i="7" s="1"/>
  <c r="M56" i="7" s="1"/>
  <c r="IV114" i="7"/>
  <c r="JK92" i="7"/>
  <c r="JM114" i="7"/>
  <c r="JC114" i="7"/>
  <c r="JX99" i="7"/>
  <c r="C79" i="7" s="1"/>
  <c r="H79" i="7" s="1"/>
  <c r="M79" i="7" s="1"/>
  <c r="JR92" i="7"/>
  <c r="KJ99" i="7"/>
  <c r="KG92" i="7"/>
  <c r="IU92" i="7"/>
  <c r="JB92" i="7"/>
  <c r="JE99" i="7"/>
  <c r="JL99" i="7"/>
  <c r="JS97" i="7"/>
  <c r="JT97" i="7" s="1"/>
  <c r="JL114" i="7"/>
  <c r="JG114" i="7"/>
  <c r="KF114" i="7"/>
  <c r="IT114" i="7"/>
  <c r="JI114" i="7"/>
  <c r="JV92" i="7"/>
  <c r="JC92" i="7"/>
  <c r="KF92" i="7"/>
  <c r="JJ92" i="7"/>
  <c r="IT92" i="7"/>
  <c r="JM99" i="7"/>
  <c r="IW99" i="7"/>
  <c r="JW99" i="7"/>
  <c r="B79" i="7" s="1"/>
  <c r="G79" i="7" s="1"/>
  <c r="L79" i="7" s="1"/>
  <c r="JD99" i="7"/>
  <c r="KH110" i="7"/>
  <c r="KB83" i="7"/>
  <c r="KC83" i="7" s="1"/>
  <c r="JS77" i="7"/>
  <c r="JT77" i="7" s="1"/>
  <c r="KM98" i="7"/>
  <c r="KN98" i="7" s="1"/>
  <c r="IN98" i="7" s="1"/>
  <c r="BX78" i="7" s="1"/>
  <c r="BY78" i="7" s="1"/>
  <c r="AK78" i="7" s="1"/>
  <c r="JW114" i="7"/>
  <c r="B94" i="7" s="1"/>
  <c r="G94" i="7" s="1"/>
  <c r="L94" i="7" s="1"/>
  <c r="JD114" i="7"/>
  <c r="JZ114" i="7"/>
  <c r="E94" i="7" s="1"/>
  <c r="J94" i="7" s="1"/>
  <c r="O94" i="7" s="1"/>
  <c r="KK114" i="7"/>
  <c r="IW114" i="7"/>
  <c r="JR114" i="7"/>
  <c r="JB114" i="7"/>
  <c r="JV114" i="7"/>
  <c r="KE114" i="7"/>
  <c r="JZ92" i="7"/>
  <c r="E72" i="7" s="1"/>
  <c r="J72" i="7" s="1"/>
  <c r="O72" i="7" s="1"/>
  <c r="JO92" i="7"/>
  <c r="JG92" i="7"/>
  <c r="IY92" i="7"/>
  <c r="KL92" i="7"/>
  <c r="JY92" i="7"/>
  <c r="D72" i="7" s="1"/>
  <c r="I72" i="7" s="1"/>
  <c r="N72" i="7" s="1"/>
  <c r="JN92" i="7"/>
  <c r="JF92" i="7"/>
  <c r="KE99" i="7"/>
  <c r="JQ99" i="7"/>
  <c r="JI99" i="7"/>
  <c r="JA99" i="7"/>
  <c r="IS99" i="7"/>
  <c r="KA99" i="7"/>
  <c r="F79" i="7" s="1"/>
  <c r="K79" i="7" s="1"/>
  <c r="P79" i="7" s="1"/>
  <c r="JP99" i="7"/>
  <c r="JH99" i="7"/>
  <c r="KK99" i="7"/>
  <c r="KG99" i="7"/>
  <c r="JV99" i="7"/>
  <c r="JK99" i="7"/>
  <c r="JC99" i="7"/>
  <c r="IU99" i="7"/>
  <c r="KF99" i="7"/>
  <c r="JR99" i="7"/>
  <c r="JJ99" i="7"/>
  <c r="JB99" i="7"/>
  <c r="IT99" i="7"/>
  <c r="KI99" i="7"/>
  <c r="JZ99" i="7"/>
  <c r="E79" i="7" s="1"/>
  <c r="J79" i="7" s="1"/>
  <c r="O79" i="7" s="1"/>
  <c r="JO99" i="7"/>
  <c r="JG99" i="7"/>
  <c r="IY99" i="7"/>
  <c r="KL99" i="7"/>
  <c r="JY99" i="7"/>
  <c r="D79" i="7" s="1"/>
  <c r="I79" i="7" s="1"/>
  <c r="N79" i="7" s="1"/>
  <c r="JN99" i="7"/>
  <c r="JF99" i="7"/>
  <c r="IX99" i="7"/>
  <c r="KI92" i="7"/>
  <c r="KE92" i="7"/>
  <c r="JQ92" i="7"/>
  <c r="JI92" i="7"/>
  <c r="JA92" i="7"/>
  <c r="IS92" i="7"/>
  <c r="KA92" i="7"/>
  <c r="F72" i="7" s="1"/>
  <c r="K72" i="7" s="1"/>
  <c r="P72" i="7" s="1"/>
  <c r="JP92" i="7"/>
  <c r="JH92" i="7"/>
  <c r="IZ92" i="7"/>
  <c r="KK92" i="7"/>
  <c r="JX92" i="7"/>
  <c r="C72" i="7" s="1"/>
  <c r="H72" i="7" s="1"/>
  <c r="M72" i="7" s="1"/>
  <c r="JM92" i="7"/>
  <c r="JE92" i="7"/>
  <c r="IW92" i="7"/>
  <c r="KJ92" i="7"/>
  <c r="JW92" i="7"/>
  <c r="B72" i="7" s="1"/>
  <c r="G72" i="7" s="1"/>
  <c r="L72" i="7" s="1"/>
  <c r="JL92" i="7"/>
  <c r="JD92" i="7"/>
  <c r="IV92" i="7"/>
  <c r="KJ114" i="7"/>
  <c r="JP114" i="7"/>
  <c r="IZ114" i="7"/>
  <c r="JO114" i="7"/>
  <c r="JX114" i="7"/>
  <c r="C94" i="7" s="1"/>
  <c r="H94" i="7" s="1"/>
  <c r="M94" i="7" s="1"/>
  <c r="KL114" i="7"/>
  <c r="JN114" i="7"/>
  <c r="IX114" i="7"/>
  <c r="JK114" i="7"/>
  <c r="JQ114" i="7"/>
  <c r="KA114" i="7"/>
  <c r="F94" i="7" s="1"/>
  <c r="K94" i="7" s="1"/>
  <c r="P94" i="7" s="1"/>
  <c r="JH114" i="7"/>
  <c r="KI114" i="7"/>
  <c r="IY114" i="7"/>
  <c r="JE114" i="7"/>
  <c r="JY114" i="7"/>
  <c r="D94" i="7" s="1"/>
  <c r="I94" i="7" s="1"/>
  <c r="N94" i="7" s="1"/>
  <c r="JF114" i="7"/>
  <c r="KG114" i="7"/>
  <c r="IU114" i="7"/>
  <c r="JA114" i="7"/>
  <c r="KM83" i="7"/>
  <c r="KN83" i="7" s="1"/>
  <c r="IN83" i="7" s="1"/>
  <c r="BX63" i="7" s="1"/>
  <c r="BY63" i="7" s="1"/>
  <c r="AK63" i="7" s="1"/>
  <c r="IR111" i="7"/>
  <c r="JK111" i="7" s="1"/>
  <c r="KM77" i="7"/>
  <c r="KN77" i="7" s="1"/>
  <c r="IN77" i="7" s="1"/>
  <c r="BX57" i="7" s="1"/>
  <c r="BY57" i="7" s="1"/>
  <c r="AK56" i="7" s="1"/>
  <c r="AI80" i="7"/>
  <c r="H96" i="4" s="1"/>
  <c r="AI73" i="7"/>
  <c r="H87" i="4" s="1"/>
  <c r="IK93" i="7"/>
  <c r="AI81" i="7"/>
  <c r="H99" i="4" s="1"/>
  <c r="CM86" i="7"/>
  <c r="CR86" i="7" s="1"/>
  <c r="CW86" i="7" s="1"/>
  <c r="BQ86" i="7" s="1"/>
  <c r="BR86" i="7" s="1"/>
  <c r="BP86" i="7" s="1"/>
  <c r="CM84" i="7"/>
  <c r="CR84" i="7" s="1"/>
  <c r="CW84" i="7" s="1"/>
  <c r="BQ84" i="7" s="1"/>
  <c r="BR84" i="7" s="1"/>
  <c r="BP84" i="7" s="1"/>
  <c r="CR82" i="7"/>
  <c r="EE66" i="7"/>
  <c r="EF66" i="7" s="1"/>
  <c r="EG66" i="7" s="1"/>
  <c r="EH66" i="7" s="1"/>
  <c r="EI66" i="7" s="1"/>
  <c r="EJ66" i="7" s="1"/>
  <c r="EK66" i="7" s="1"/>
  <c r="EB65" i="7"/>
  <c r="H100" i="4" l="1"/>
  <c r="H98" i="4"/>
  <c r="IZ111" i="7"/>
  <c r="KK111" i="7"/>
  <c r="KM99" i="7"/>
  <c r="KN99" i="7" s="1"/>
  <c r="IN99" i="7" s="1"/>
  <c r="BX79" i="7" s="1"/>
  <c r="BY79" i="7" s="1"/>
  <c r="AK79" i="7" s="1"/>
  <c r="JA111" i="7"/>
  <c r="JO111" i="7"/>
  <c r="JZ111" i="7"/>
  <c r="E91" i="7" s="1"/>
  <c r="J91" i="7" s="1"/>
  <c r="O91" i="7" s="1"/>
  <c r="JD111" i="7"/>
  <c r="JR111" i="7"/>
  <c r="IS111" i="7"/>
  <c r="JX111" i="7"/>
  <c r="C91" i="7" s="1"/>
  <c r="H91" i="7" s="1"/>
  <c r="M91" i="7" s="1"/>
  <c r="KH92" i="7"/>
  <c r="JS114" i="7"/>
  <c r="JT114" i="7" s="1"/>
  <c r="JF111" i="7"/>
  <c r="KI111" i="7"/>
  <c r="JW111" i="7"/>
  <c r="B91" i="7" s="1"/>
  <c r="G91" i="7" s="1"/>
  <c r="L91" i="7" s="1"/>
  <c r="JV111" i="7"/>
  <c r="IW111" i="7"/>
  <c r="JB111" i="7"/>
  <c r="KE111" i="7"/>
  <c r="JP111" i="7"/>
  <c r="KB92" i="7"/>
  <c r="KC92" i="7" s="1"/>
  <c r="KB114" i="7"/>
  <c r="KC114" i="7" s="1"/>
  <c r="KH114" i="7"/>
  <c r="KM92" i="7"/>
  <c r="KN92" i="7" s="1"/>
  <c r="IN92" i="7" s="1"/>
  <c r="BX72" i="7" s="1"/>
  <c r="BY72" i="7" s="1"/>
  <c r="AK72" i="7" s="1"/>
  <c r="KH99" i="7"/>
  <c r="IR101" i="7"/>
  <c r="KK101" i="7" s="1"/>
  <c r="IR100" i="7"/>
  <c r="KA100" i="7" s="1"/>
  <c r="F80" i="7" s="1"/>
  <c r="K80" i="7" s="1"/>
  <c r="P80" i="7" s="1"/>
  <c r="JY111" i="7"/>
  <c r="D91" i="7" s="1"/>
  <c r="I91" i="7" s="1"/>
  <c r="N91" i="7" s="1"/>
  <c r="JN111" i="7"/>
  <c r="JG111" i="7"/>
  <c r="KJ111" i="7"/>
  <c r="IV111" i="7"/>
  <c r="JM111" i="7"/>
  <c r="JJ111" i="7"/>
  <c r="IY111" i="7"/>
  <c r="KA111" i="7"/>
  <c r="F91" i="7" s="1"/>
  <c r="K91" i="7" s="1"/>
  <c r="P91" i="7" s="1"/>
  <c r="KG111" i="7"/>
  <c r="JE111" i="7"/>
  <c r="KL111" i="7"/>
  <c r="IX111" i="7"/>
  <c r="JQ111" i="7"/>
  <c r="JL111" i="7"/>
  <c r="JC111" i="7"/>
  <c r="KF111" i="7"/>
  <c r="IT111" i="7"/>
  <c r="JI111" i="7"/>
  <c r="JH111" i="7"/>
  <c r="IU111" i="7"/>
  <c r="JS92" i="7"/>
  <c r="JT92" i="7" s="1"/>
  <c r="JS99" i="7"/>
  <c r="JT99" i="7" s="1"/>
  <c r="KB99" i="7"/>
  <c r="KC99" i="7" s="1"/>
  <c r="IR93" i="7"/>
  <c r="KM114" i="7"/>
  <c r="KN114" i="7" s="1"/>
  <c r="IN114" i="7" s="1"/>
  <c r="BX94" i="7" s="1"/>
  <c r="BY94" i="7" s="1"/>
  <c r="AK94" i="7" s="1"/>
  <c r="BY92" i="7"/>
  <c r="AK92" i="7" s="1"/>
  <c r="AI84" i="7"/>
  <c r="H109" i="4" s="1"/>
  <c r="IK104" i="7"/>
  <c r="AI86" i="7"/>
  <c r="H113" i="4" s="1"/>
  <c r="IK106" i="7"/>
  <c r="EE65" i="7"/>
  <c r="EF65" i="7" s="1"/>
  <c r="EG65" i="7" s="1"/>
  <c r="EH65" i="7" s="1"/>
  <c r="EB64" i="7"/>
  <c r="KK93" i="7" l="1"/>
  <c r="H97" i="4"/>
  <c r="H110" i="4"/>
  <c r="H101" i="4"/>
  <c r="IU101" i="7"/>
  <c r="IZ101" i="7"/>
  <c r="KG101" i="7"/>
  <c r="KM111" i="7"/>
  <c r="KN111" i="7" s="1"/>
  <c r="IN111" i="7" s="1"/>
  <c r="BX91" i="7" s="1"/>
  <c r="BY91" i="7" s="1"/>
  <c r="AK91" i="7" s="1"/>
  <c r="JP101" i="7"/>
  <c r="JK101" i="7"/>
  <c r="IU93" i="7"/>
  <c r="JG100" i="7"/>
  <c r="JE93" i="7"/>
  <c r="JD100" i="7"/>
  <c r="IS101" i="7"/>
  <c r="JH101" i="7"/>
  <c r="KA101" i="7"/>
  <c r="F81" i="7" s="1"/>
  <c r="K81" i="7" s="1"/>
  <c r="P81" i="7" s="1"/>
  <c r="JC101" i="7"/>
  <c r="JV101" i="7"/>
  <c r="JY93" i="7"/>
  <c r="D73" i="7" s="1"/>
  <c r="I73" i="7" s="1"/>
  <c r="N73" i="7" s="1"/>
  <c r="JL93" i="7"/>
  <c r="KI93" i="7"/>
  <c r="JZ100" i="7"/>
  <c r="E80" i="7" s="1"/>
  <c r="J80" i="7" s="1"/>
  <c r="O80" i="7" s="1"/>
  <c r="KL100" i="7"/>
  <c r="KL93" i="7"/>
  <c r="JB93" i="7"/>
  <c r="IV93" i="7"/>
  <c r="KJ93" i="7"/>
  <c r="JX93" i="7"/>
  <c r="C73" i="7" s="1"/>
  <c r="H73" i="7" s="1"/>
  <c r="M73" i="7" s="1"/>
  <c r="JB100" i="7"/>
  <c r="KJ100" i="7"/>
  <c r="JJ100" i="7"/>
  <c r="JI100" i="7"/>
  <c r="KK100" i="7"/>
  <c r="KH111" i="7"/>
  <c r="IV101" i="7"/>
  <c r="JD101" i="7"/>
  <c r="JL101" i="7"/>
  <c r="JW101" i="7"/>
  <c r="B81" i="7" s="1"/>
  <c r="G81" i="7" s="1"/>
  <c r="L81" i="7" s="1"/>
  <c r="KJ101" i="7"/>
  <c r="IY101" i="7"/>
  <c r="JG101" i="7"/>
  <c r="JO101" i="7"/>
  <c r="JZ101" i="7"/>
  <c r="E81" i="7" s="1"/>
  <c r="J81" i="7" s="1"/>
  <c r="O81" i="7" s="1"/>
  <c r="KI101" i="7"/>
  <c r="KG100" i="7"/>
  <c r="JL100" i="7"/>
  <c r="IZ100" i="7"/>
  <c r="JE100" i="7"/>
  <c r="KF100" i="7"/>
  <c r="IS100" i="7"/>
  <c r="JN100" i="7"/>
  <c r="JV100" i="7"/>
  <c r="JF100" i="7"/>
  <c r="KB111" i="7"/>
  <c r="KC111" i="7" s="1"/>
  <c r="IT101" i="7"/>
  <c r="IX101" i="7"/>
  <c r="JB101" i="7"/>
  <c r="JF101" i="7"/>
  <c r="JJ101" i="7"/>
  <c r="JN101" i="7"/>
  <c r="JR101" i="7"/>
  <c r="JY101" i="7"/>
  <c r="D81" i="7" s="1"/>
  <c r="I81" i="7" s="1"/>
  <c r="N81" i="7" s="1"/>
  <c r="KF101" i="7"/>
  <c r="KL101" i="7"/>
  <c r="IW101" i="7"/>
  <c r="JA101" i="7"/>
  <c r="JE101" i="7"/>
  <c r="JI101" i="7"/>
  <c r="JM101" i="7"/>
  <c r="JQ101" i="7"/>
  <c r="JX101" i="7"/>
  <c r="C81" i="7" s="1"/>
  <c r="H81" i="7" s="1"/>
  <c r="M81" i="7" s="1"/>
  <c r="KE101" i="7"/>
  <c r="IT100" i="7"/>
  <c r="JK100" i="7"/>
  <c r="IY100" i="7"/>
  <c r="JX100" i="7"/>
  <c r="C80" i="7" s="1"/>
  <c r="H80" i="7" s="1"/>
  <c r="M80" i="7" s="1"/>
  <c r="JW100" i="7"/>
  <c r="B80" i="7" s="1"/>
  <c r="G80" i="7" s="1"/>
  <c r="L80" i="7" s="1"/>
  <c r="JH100" i="7"/>
  <c r="IW100" i="7"/>
  <c r="JQ100" i="7"/>
  <c r="JR100" i="7"/>
  <c r="IV100" i="7"/>
  <c r="JO100" i="7"/>
  <c r="JA100" i="7"/>
  <c r="KE100" i="7"/>
  <c r="KH100" i="7" s="1"/>
  <c r="JY100" i="7"/>
  <c r="D80" i="7" s="1"/>
  <c r="I80" i="7" s="1"/>
  <c r="N80" i="7" s="1"/>
  <c r="KI100" i="7"/>
  <c r="JC100" i="7"/>
  <c r="JS111" i="7"/>
  <c r="JT111" i="7" s="1"/>
  <c r="JG93" i="7"/>
  <c r="JO93" i="7"/>
  <c r="JR93" i="7"/>
  <c r="JK93" i="7"/>
  <c r="JD93" i="7"/>
  <c r="JW93" i="7"/>
  <c r="IW93" i="7"/>
  <c r="JM93" i="7"/>
  <c r="KE93" i="7"/>
  <c r="IR106" i="7"/>
  <c r="IV106" i="7" s="1"/>
  <c r="IR104" i="7"/>
  <c r="IV104" i="7" s="1"/>
  <c r="KU100" i="7"/>
  <c r="KU104" i="7"/>
  <c r="KU101" i="7"/>
  <c r="IX100" i="7"/>
  <c r="IU100" i="7"/>
  <c r="JP100" i="7"/>
  <c r="JM100" i="7"/>
  <c r="IX93" i="7"/>
  <c r="JF93" i="7"/>
  <c r="IT93" i="7"/>
  <c r="KF93" i="7"/>
  <c r="JV93" i="7"/>
  <c r="JH93" i="7"/>
  <c r="KA93" i="7"/>
  <c r="F73" i="7" s="1"/>
  <c r="K73" i="7" s="1"/>
  <c r="P73" i="7" s="1"/>
  <c r="JA93" i="7"/>
  <c r="JQ93" i="7"/>
  <c r="KG93" i="7"/>
  <c r="JN93" i="7"/>
  <c r="IY93" i="7"/>
  <c r="JJ93" i="7"/>
  <c r="JC93" i="7"/>
  <c r="IZ93" i="7"/>
  <c r="IS93" i="7"/>
  <c r="JI93" i="7"/>
  <c r="JP93" i="7"/>
  <c r="JZ93" i="7"/>
  <c r="JH106" i="7"/>
  <c r="IZ104" i="7"/>
  <c r="EE64" i="7"/>
  <c r="EB63" i="7"/>
  <c r="EH64" i="7"/>
  <c r="EI65" i="7"/>
  <c r="EJ65" i="7" s="1"/>
  <c r="EK65" i="7" s="1"/>
  <c r="H102" i="4" l="1"/>
  <c r="H111" i="4"/>
  <c r="KE104" i="7"/>
  <c r="JS101" i="7"/>
  <c r="JT101" i="7" s="1"/>
  <c r="IS104" i="7"/>
  <c r="JI104" i="7"/>
  <c r="JP104" i="7"/>
  <c r="KH101" i="7"/>
  <c r="JA106" i="7"/>
  <c r="KM101" i="7"/>
  <c r="KN101" i="7" s="1"/>
  <c r="IN101" i="7" s="1"/>
  <c r="BX81" i="7" s="1"/>
  <c r="BY81" i="7" s="1"/>
  <c r="AK81" i="7" s="1"/>
  <c r="KM100" i="7"/>
  <c r="KN100" i="7" s="1"/>
  <c r="IN100" i="7" s="1"/>
  <c r="BX80" i="7" s="1"/>
  <c r="BY80" i="7" s="1"/>
  <c r="AK80" i="7" s="1"/>
  <c r="KM93" i="7"/>
  <c r="KN93" i="7" s="1"/>
  <c r="IN93" i="7" s="1"/>
  <c r="BX73" i="7" s="1"/>
  <c r="BY73" i="7" s="1"/>
  <c r="AK73" i="7" s="1"/>
  <c r="JQ106" i="7"/>
  <c r="KA106" i="7"/>
  <c r="F86" i="7" s="1"/>
  <c r="K86" i="7" s="1"/>
  <c r="P86" i="7" s="1"/>
  <c r="E73" i="7"/>
  <c r="J73" i="7" s="1"/>
  <c r="O73" i="7" s="1"/>
  <c r="B73" i="7"/>
  <c r="G73" i="7" s="1"/>
  <c r="L73" i="7" s="1"/>
  <c r="KB100" i="7"/>
  <c r="KC100" i="7" s="1"/>
  <c r="KB101" i="7"/>
  <c r="KC101" i="7" s="1"/>
  <c r="JS93" i="7"/>
  <c r="JT93" i="7" s="1"/>
  <c r="JQ104" i="7"/>
  <c r="JA104" i="7"/>
  <c r="KA104" i="7"/>
  <c r="JH104" i="7"/>
  <c r="KE106" i="7"/>
  <c r="JI106" i="7"/>
  <c r="IS106" i="7"/>
  <c r="JP106" i="7"/>
  <c r="IZ106" i="7"/>
  <c r="JS100" i="7"/>
  <c r="JT100" i="7" s="1"/>
  <c r="KH93" i="7"/>
  <c r="JX104" i="7"/>
  <c r="JM104" i="7"/>
  <c r="JE104" i="7"/>
  <c r="IW104" i="7"/>
  <c r="KJ104" i="7"/>
  <c r="JW104" i="7"/>
  <c r="JL104" i="7"/>
  <c r="JD104" i="7"/>
  <c r="JX106" i="7"/>
  <c r="C86" i="7" s="1"/>
  <c r="H86" i="7" s="1"/>
  <c r="M86" i="7" s="1"/>
  <c r="JM106" i="7"/>
  <c r="JE106" i="7"/>
  <c r="IW106" i="7"/>
  <c r="KJ106" i="7"/>
  <c r="JW106" i="7"/>
  <c r="B86" i="7" s="1"/>
  <c r="G86" i="7" s="1"/>
  <c r="L86" i="7" s="1"/>
  <c r="JL106" i="7"/>
  <c r="JD106" i="7"/>
  <c r="KK104" i="7"/>
  <c r="KI104" i="7"/>
  <c r="JZ104" i="7"/>
  <c r="JO104" i="7"/>
  <c r="JG104" i="7"/>
  <c r="IY104" i="7"/>
  <c r="KL104" i="7"/>
  <c r="JY104" i="7"/>
  <c r="JN104" i="7"/>
  <c r="JF104" i="7"/>
  <c r="IX104" i="7"/>
  <c r="KG104" i="7"/>
  <c r="JV104" i="7"/>
  <c r="JK104" i="7"/>
  <c r="JC104" i="7"/>
  <c r="IU104" i="7"/>
  <c r="KF104" i="7"/>
  <c r="JR104" i="7"/>
  <c r="JJ104" i="7"/>
  <c r="JB104" i="7"/>
  <c r="IT104" i="7"/>
  <c r="KK106" i="7"/>
  <c r="KG106" i="7"/>
  <c r="JV106" i="7"/>
  <c r="JK106" i="7"/>
  <c r="JC106" i="7"/>
  <c r="IU106" i="7"/>
  <c r="KF106" i="7"/>
  <c r="JR106" i="7"/>
  <c r="JJ106" i="7"/>
  <c r="JB106" i="7"/>
  <c r="IT106" i="7"/>
  <c r="JO106" i="7"/>
  <c r="IY106" i="7"/>
  <c r="JY106" i="7"/>
  <c r="JF106" i="7"/>
  <c r="KI106" i="7"/>
  <c r="JZ106" i="7"/>
  <c r="E86" i="7" s="1"/>
  <c r="J86" i="7" s="1"/>
  <c r="O86" i="7" s="1"/>
  <c r="JG106" i="7"/>
  <c r="KL106" i="7"/>
  <c r="JN106" i="7"/>
  <c r="IX106" i="7"/>
  <c r="KM104" i="7"/>
  <c r="KN104" i="7" s="1"/>
  <c r="IN104" i="7" s="1"/>
  <c r="BX84" i="7" s="1"/>
  <c r="KB93" i="7"/>
  <c r="KC93" i="7" s="1"/>
  <c r="KU102" i="7"/>
  <c r="CE97" i="7" s="1"/>
  <c r="CA97" i="7" s="1"/>
  <c r="CA100" i="7" s="1"/>
  <c r="BY74" i="7"/>
  <c r="AK74" i="7" s="1"/>
  <c r="BY85" i="7"/>
  <c r="AK85" i="7" s="1"/>
  <c r="BY87" i="7"/>
  <c r="AK87" i="7" s="1"/>
  <c r="EI64" i="7"/>
  <c r="EJ64" i="7" s="1"/>
  <c r="EK64" i="7" s="1"/>
  <c r="EH63" i="7"/>
  <c r="EI63" i="7" s="1"/>
  <c r="EE63" i="7"/>
  <c r="EB62" i="7"/>
  <c r="E84" i="7" l="1"/>
  <c r="J84" i="7" s="1"/>
  <c r="O84" i="7" s="1"/>
  <c r="C84" i="7"/>
  <c r="H84" i="7" s="1"/>
  <c r="M84" i="7" s="1"/>
  <c r="D84" i="7"/>
  <c r="I84" i="7" s="1"/>
  <c r="N84" i="7" s="1"/>
  <c r="B84" i="7"/>
  <c r="G84" i="7" s="1"/>
  <c r="L84" i="7" s="1"/>
  <c r="F84" i="7"/>
  <c r="K84" i="7" s="1"/>
  <c r="P84" i="7" s="1"/>
  <c r="H103" i="4"/>
  <c r="KB106" i="7"/>
  <c r="KC106" i="7" s="1"/>
  <c r="JS104" i="7"/>
  <c r="JT104" i="7" s="1"/>
  <c r="KH104" i="7"/>
  <c r="D86" i="7"/>
  <c r="I86" i="7" s="1"/>
  <c r="N86" i="7" s="1"/>
  <c r="KB104" i="7"/>
  <c r="KC104" i="7" s="1"/>
  <c r="KM106" i="7"/>
  <c r="KN106" i="7" s="1"/>
  <c r="IN106" i="7" s="1"/>
  <c r="BX86" i="7" s="1"/>
  <c r="BY86" i="7" s="1"/>
  <c r="AK86" i="7" s="1"/>
  <c r="JS106" i="7"/>
  <c r="JT106" i="7" s="1"/>
  <c r="KH106" i="7"/>
  <c r="EE62" i="7"/>
  <c r="EF62" i="7" s="1"/>
  <c r="EG62" i="7" s="1"/>
  <c r="EH62" i="7" s="1"/>
  <c r="EI62" i="7" s="1"/>
  <c r="EJ62" i="7" s="1"/>
  <c r="EK62" i="7" s="1"/>
  <c r="EB61" i="7"/>
  <c r="EJ63" i="7"/>
  <c r="EK63" i="7" s="1"/>
  <c r="K182" i="4"/>
  <c r="C155" i="4"/>
  <c r="AM158" i="4" s="1"/>
  <c r="EE61" i="7" l="1"/>
  <c r="EF61" i="7" s="1"/>
  <c r="EG61" i="7" s="1"/>
  <c r="EH61" i="7" s="1"/>
  <c r="EI61" i="7" s="1"/>
  <c r="EJ61" i="7" s="1"/>
  <c r="EK61" i="7" s="1"/>
  <c r="EB60" i="7"/>
  <c r="H3" i="2"/>
  <c r="H4" i="2" s="1"/>
  <c r="H5" i="2" s="1"/>
  <c r="H6" i="2" s="1"/>
  <c r="EE60" i="7" l="1"/>
  <c r="EF60" i="7" s="1"/>
  <c r="EG60" i="7" s="1"/>
  <c r="EH60" i="7" s="1"/>
  <c r="EI60" i="7" s="1"/>
  <c r="EJ60" i="7" s="1"/>
  <c r="EK60" i="7" s="1"/>
  <c r="EB59" i="7"/>
  <c r="H7" i="2"/>
  <c r="EE59" i="7" l="1"/>
  <c r="EF59" i="7" s="1"/>
  <c r="EG59" i="7" s="1"/>
  <c r="EH59" i="7" s="1"/>
  <c r="EI59" i="7" s="1"/>
  <c r="EJ59" i="7" s="1"/>
  <c r="EK59" i="7" s="1"/>
  <c r="EB58" i="7"/>
  <c r="H8" i="2"/>
  <c r="EE58" i="7" l="1"/>
  <c r="EF58" i="7" s="1"/>
  <c r="EG58" i="7" s="1"/>
  <c r="EH58" i="7" s="1"/>
  <c r="EI58" i="7" s="1"/>
  <c r="EJ58" i="7" s="1"/>
  <c r="EK58" i="7" s="1"/>
  <c r="EB57" i="7"/>
  <c r="H9" i="2"/>
  <c r="EE57" i="7" l="1"/>
  <c r="EF57" i="7" s="1"/>
  <c r="EG57" i="7" s="1"/>
  <c r="EH57" i="7" s="1"/>
  <c r="EB56" i="7"/>
  <c r="H10" i="2"/>
  <c r="EE56" i="7" l="1"/>
  <c r="EF56" i="7" s="1"/>
  <c r="EG56" i="7" s="1"/>
  <c r="EH56" i="7" s="1"/>
  <c r="EB55" i="7"/>
  <c r="ED70" i="7" s="1"/>
  <c r="H11" i="2"/>
  <c r="EB54" i="7" l="1"/>
  <c r="EE54" i="7" s="1"/>
  <c r="EE55" i="7"/>
  <c r="EF55" i="7" s="1"/>
  <c r="EG55" i="7" s="1"/>
  <c r="EH55" i="7" s="1"/>
  <c r="H12" i="2"/>
  <c r="H13" i="2" s="1"/>
  <c r="EF54" i="7" l="1"/>
  <c r="EF70" i="7"/>
  <c r="EF71" i="7" s="1"/>
  <c r="EI56" i="7" s="1"/>
  <c r="EJ56" i="7" s="1"/>
  <c r="EK56" i="7" s="1"/>
  <c r="H14" i="2"/>
  <c r="EG54" i="7" l="1"/>
  <c r="EH54" i="7" s="1"/>
  <c r="EI54" i="7" s="1"/>
  <c r="EJ54" i="7" s="1"/>
  <c r="EG70" i="7"/>
  <c r="EI55" i="7"/>
  <c r="EJ55" i="7" s="1"/>
  <c r="EK55" i="7" s="1"/>
  <c r="EI57" i="7"/>
  <c r="EJ57" i="7" s="1"/>
  <c r="EK57" i="7" s="1"/>
  <c r="H15" i="2"/>
  <c r="EK70" i="7" l="1"/>
  <c r="EK54" i="7"/>
  <c r="EL70" i="7" s="1"/>
  <c r="H16" i="2"/>
  <c r="EL71" i="7" l="1"/>
  <c r="BU38" i="7" s="1"/>
  <c r="BU41" i="7" s="1"/>
  <c r="H17" i="2"/>
  <c r="BX41" i="7" l="1"/>
  <c r="BX42" i="7" s="1"/>
  <c r="CW82" i="7" s="1"/>
  <c r="BV42" i="7"/>
  <c r="H18" i="2"/>
  <c r="BQ82" i="7" l="1"/>
  <c r="BR82" i="7" s="1"/>
  <c r="BP82" i="7" s="1"/>
  <c r="BX43" i="7"/>
  <c r="CW97" i="7"/>
  <c r="CW98" i="7"/>
  <c r="H19" i="2"/>
  <c r="AI82" i="7" l="1"/>
  <c r="IK102" i="7"/>
  <c r="CW99" i="7"/>
  <c r="H20" i="2"/>
  <c r="H105" i="4" l="1"/>
  <c r="IR102" i="7"/>
  <c r="IV129" i="7" s="1"/>
  <c r="H104" i="4"/>
  <c r="H207" i="4" s="1"/>
  <c r="IR129" i="7" s="1"/>
  <c r="IS129" i="7" s="1"/>
  <c r="IO129" i="7" s="1"/>
  <c r="IR127" i="7"/>
  <c r="IO127" i="7" s="1"/>
  <c r="AN69" i="7" s="1"/>
  <c r="H21" i="2"/>
  <c r="H208" i="4" l="1"/>
  <c r="IR130" i="7" s="1"/>
  <c r="IS130" i="7" s="1"/>
  <c r="IO130" i="7" s="1"/>
  <c r="H210" i="4"/>
  <c r="IR137" i="7" s="1"/>
  <c r="H209" i="4"/>
  <c r="IR136" i="7" s="1"/>
  <c r="JW102" i="7"/>
  <c r="B82" i="7" s="1"/>
  <c r="G82" i="7" s="1"/>
  <c r="L82" i="7" s="1"/>
  <c r="L98" i="7" s="1"/>
  <c r="L99" i="7" s="1"/>
  <c r="JG102" i="7"/>
  <c r="KK102" i="7"/>
  <c r="JR102" i="7"/>
  <c r="JD102" i="7"/>
  <c r="P101" i="7"/>
  <c r="BL96" i="7" s="1"/>
  <c r="BL98" i="7" s="1"/>
  <c r="JX102" i="7"/>
  <c r="JL102" i="7"/>
  <c r="JH102" i="7"/>
  <c r="JB102" i="7"/>
  <c r="IU102" i="7"/>
  <c r="JE102" i="7"/>
  <c r="IV128" i="7"/>
  <c r="IW128" i="7" s="1"/>
  <c r="AN71" i="7" s="1"/>
  <c r="IY102" i="7"/>
  <c r="JP102" i="7"/>
  <c r="JZ102" i="7"/>
  <c r="JF102" i="7"/>
  <c r="JY102" i="7"/>
  <c r="JC102" i="7"/>
  <c r="IS102" i="7"/>
  <c r="JI102" i="7"/>
  <c r="KE102" i="7"/>
  <c r="IR126" i="7"/>
  <c r="IO126" i="7" s="1"/>
  <c r="AN68" i="7" s="1"/>
  <c r="IZ102" i="7"/>
  <c r="KI102" i="7"/>
  <c r="IX102" i="7"/>
  <c r="JN102" i="7"/>
  <c r="KL102" i="7"/>
  <c r="JV102" i="7"/>
  <c r="JV117" i="7" s="1"/>
  <c r="JA102" i="7"/>
  <c r="JQ102" i="7"/>
  <c r="KG102" i="7"/>
  <c r="KJ102" i="7"/>
  <c r="JO102" i="7"/>
  <c r="KA102" i="7"/>
  <c r="F82" i="7" s="1"/>
  <c r="K82" i="7" s="1"/>
  <c r="P82" i="7" s="1"/>
  <c r="IT102" i="7"/>
  <c r="JJ102" i="7"/>
  <c r="KF102" i="7"/>
  <c r="JK102" i="7"/>
  <c r="IW102" i="7"/>
  <c r="JM102" i="7"/>
  <c r="IW129" i="7"/>
  <c r="IV102" i="7"/>
  <c r="BY84" i="7"/>
  <c r="AK84" i="7" s="1"/>
  <c r="H22" i="2"/>
  <c r="AN72" i="7" l="1"/>
  <c r="H211" i="4"/>
  <c r="IR138" i="7" s="1"/>
  <c r="KB102" i="7"/>
  <c r="KC102" i="7" s="1"/>
  <c r="KC118" i="7" s="1"/>
  <c r="IO120" i="7" s="1"/>
  <c r="KM102" i="7"/>
  <c r="KN102" i="7" s="1"/>
  <c r="IN102" i="7" s="1"/>
  <c r="BX82" i="7" s="1"/>
  <c r="BY82" i="7" s="1"/>
  <c r="AK82" i="7" s="1"/>
  <c r="JW117" i="7"/>
  <c r="B98" i="7" s="1"/>
  <c r="AN60" i="7"/>
  <c r="D82" i="7"/>
  <c r="I82" i="7" s="1"/>
  <c r="N82" i="7" s="1"/>
  <c r="N98" i="7" s="1"/>
  <c r="N99" i="7" s="1"/>
  <c r="AN58" i="7" s="1"/>
  <c r="JY117" i="7"/>
  <c r="D98" i="7" s="1"/>
  <c r="E82" i="7"/>
  <c r="J82" i="7" s="1"/>
  <c r="O82" i="7" s="1"/>
  <c r="JZ117" i="7"/>
  <c r="E98" i="7" s="1"/>
  <c r="G98" i="7"/>
  <c r="K98" i="7"/>
  <c r="C82" i="7"/>
  <c r="H82" i="7" s="1"/>
  <c r="M82" i="7" s="1"/>
  <c r="M98" i="7" s="1"/>
  <c r="M99" i="7" s="1"/>
  <c r="AN59" i="7" s="1"/>
  <c r="JX117" i="7"/>
  <c r="C98" i="7" s="1"/>
  <c r="JS102" i="7"/>
  <c r="JT102" i="7" s="1"/>
  <c r="IR128" i="7"/>
  <c r="IO128" i="7" s="1"/>
  <c r="AN70" i="7" s="1"/>
  <c r="KH102" i="7"/>
  <c r="H23" i="2"/>
  <c r="KN117" i="7" l="1"/>
  <c r="IN117" i="7" s="1"/>
  <c r="BX97" i="7" s="1"/>
  <c r="O98" i="7"/>
  <c r="O99" i="7" s="1"/>
  <c r="KD118" i="7"/>
  <c r="KC119" i="7"/>
  <c r="KD119" i="7" s="1"/>
  <c r="KC121" i="7"/>
  <c r="KC120" i="7"/>
  <c r="IO122" i="7" s="1"/>
  <c r="H98" i="7"/>
  <c r="J98" i="7"/>
  <c r="I98" i="7"/>
  <c r="H24" i="2"/>
  <c r="IR131" i="7" l="1"/>
  <c r="IO131" i="7" s="1"/>
  <c r="AN73" i="7" s="1"/>
  <c r="AN57" i="7"/>
  <c r="P98" i="7"/>
  <c r="P99" i="7" s="1"/>
  <c r="AN61" i="7" s="1"/>
  <c r="IO121" i="7"/>
  <c r="IO123" i="7"/>
  <c r="KD121" i="7"/>
  <c r="KD120" i="7"/>
  <c r="H25" i="2"/>
  <c r="N101" i="7" l="1"/>
  <c r="H26" i="2"/>
  <c r="H27" i="2" l="1"/>
  <c r="H28" i="2" l="1"/>
  <c r="H29" i="2" l="1"/>
  <c r="H30" i="2" l="1"/>
  <c r="H31" i="2" l="1"/>
  <c r="H32" i="2" l="1"/>
  <c r="H33" i="2" s="1"/>
  <c r="H34" i="2" l="1"/>
  <c r="H35" i="2" l="1"/>
  <c r="H36" i="2" l="1"/>
  <c r="H37" i="2" l="1"/>
  <c r="H38" i="2" l="1"/>
  <c r="H39" i="2" l="1"/>
  <c r="H40" i="2" l="1"/>
  <c r="R112" i="4"/>
  <c r="I2" i="2"/>
  <c r="H41" i="2" l="1"/>
  <c r="H42" i="2" l="1"/>
  <c r="H43" i="2" l="1"/>
  <c r="H44" i="2" l="1"/>
  <c r="H45" i="2" l="1"/>
  <c r="H46" i="2" s="1"/>
  <c r="H47" i="2" l="1"/>
  <c r="H48" i="2" l="1"/>
  <c r="H49" i="2" l="1"/>
  <c r="H50" i="2" l="1"/>
  <c r="H51" i="2" s="1"/>
  <c r="H52" i="2" l="1"/>
  <c r="H53" i="2" l="1"/>
  <c r="H54" i="2" l="1"/>
  <c r="H55" i="2" l="1"/>
  <c r="H56" i="2" l="1"/>
  <c r="H57" i="2" l="1"/>
  <c r="H58" i="2" l="1"/>
  <c r="H59" i="2" s="1"/>
  <c r="H60" i="2" l="1"/>
  <c r="H61" i="2" s="1"/>
  <c r="H62" i="2" l="1"/>
  <c r="H63" i="2" l="1"/>
  <c r="H64" i="2" l="1"/>
  <c r="H65" i="2" l="1"/>
  <c r="H66" i="2" l="1"/>
  <c r="H67" i="2" l="1"/>
  <c r="H68" i="2" l="1"/>
  <c r="H69" i="2" s="1"/>
  <c r="H70" i="2" l="1"/>
  <c r="H71" i="2" l="1"/>
  <c r="H72" i="2" l="1"/>
  <c r="H73" i="2" l="1"/>
  <c r="H74" i="2" l="1"/>
  <c r="H75" i="2" l="1"/>
  <c r="H76" i="2" l="1"/>
  <c r="H77" i="2" l="1"/>
  <c r="H78" i="2" s="1"/>
  <c r="H79" i="2" l="1"/>
  <c r="H80" i="2" l="1"/>
  <c r="H81" i="2" l="1"/>
  <c r="H82" i="2" s="1"/>
  <c r="H83" i="2" l="1"/>
  <c r="H84" i="2" l="1"/>
  <c r="H85" i="2" l="1"/>
  <c r="H86" i="2" l="1"/>
  <c r="H87" i="2" s="1"/>
  <c r="H88" i="2" l="1"/>
  <c r="H89" i="2" l="1"/>
  <c r="H90" i="2" l="1"/>
  <c r="H91" i="2" l="1"/>
  <c r="H92" i="2" l="1"/>
  <c r="H93" i="2" l="1"/>
  <c r="H94" i="2" l="1"/>
  <c r="H95" i="2" l="1"/>
  <c r="H96" i="2" l="1"/>
  <c r="H97" i="2" l="1"/>
  <c r="H98" i="2" l="1"/>
  <c r="H99" i="2" l="1"/>
  <c r="H100" i="2" l="1"/>
  <c r="H101" i="2" l="1"/>
  <c r="H102" i="2" l="1"/>
  <c r="H103" i="2" l="1"/>
  <c r="H104" i="2" l="1"/>
  <c r="H105" i="2" l="1"/>
  <c r="H106" i="2" l="1"/>
  <c r="H107" i="2" l="1"/>
  <c r="H108" i="2" l="1"/>
  <c r="H109" i="2" s="1"/>
  <c r="H110" i="2" l="1"/>
  <c r="H111" i="2" l="1"/>
  <c r="H112" i="2" l="1"/>
  <c r="H113" i="2" s="1"/>
  <c r="H114" i="2" l="1"/>
  <c r="H115" i="2" l="1"/>
  <c r="H116" i="2" l="1"/>
  <c r="H117" i="2" l="1"/>
  <c r="H118" i="2" l="1"/>
  <c r="H119" i="2" l="1"/>
  <c r="H120" i="2" l="1"/>
  <c r="H121" i="2" l="1"/>
  <c r="H122" i="2" s="1"/>
  <c r="H123" i="2" l="1"/>
  <c r="H124" i="2" l="1"/>
  <c r="H125" i="2" l="1"/>
  <c r="H126" i="2" s="1"/>
  <c r="H127" i="2" l="1"/>
  <c r="H128" i="2" l="1"/>
  <c r="H129" i="2" s="1"/>
  <c r="H130" i="2" l="1"/>
  <c r="H131" i="2" l="1"/>
  <c r="H132" i="2" l="1"/>
  <c r="H133" i="2" s="1"/>
  <c r="H134" i="2" l="1"/>
  <c r="H135" i="2" l="1"/>
  <c r="H136" i="2" l="1"/>
  <c r="H137" i="2" l="1"/>
  <c r="H138" i="2" l="1"/>
  <c r="H139" i="2" l="1"/>
  <c r="H140" i="2" l="1"/>
  <c r="H141" i="2" l="1"/>
  <c r="H142" i="2" l="1"/>
  <c r="H143" i="2" l="1"/>
  <c r="H144" i="2" l="1"/>
  <c r="H145" i="2" l="1"/>
  <c r="H146" i="2" l="1"/>
  <c r="H147" i="2" l="1"/>
  <c r="H148" i="2" l="1"/>
  <c r="H149" i="2" l="1"/>
  <c r="H150" i="2" l="1"/>
  <c r="H151" i="2" s="1"/>
  <c r="H152" i="2" l="1"/>
  <c r="H153" i="2" l="1"/>
  <c r="H154" i="2" l="1"/>
  <c r="H155" i="2" l="1"/>
  <c r="H156" i="2" l="1"/>
  <c r="H157" i="2" l="1"/>
  <c r="H158" i="2" l="1"/>
  <c r="H159" i="2" l="1"/>
  <c r="H160" i="2" l="1"/>
  <c r="H161" i="2" l="1"/>
  <c r="H162" i="2" l="1"/>
  <c r="H163" i="2" l="1"/>
  <c r="H164" i="2" l="1"/>
  <c r="H165" i="2" l="1"/>
  <c r="H166" i="2" l="1"/>
  <c r="H167" i="2" l="1"/>
  <c r="H168" i="2" l="1"/>
  <c r="H169" i="2" l="1"/>
  <c r="H170" i="2" l="1"/>
  <c r="H171" i="2" s="1"/>
  <c r="H172" i="2" l="1"/>
  <c r="H173" i="2" l="1"/>
  <c r="H174" i="2" s="1"/>
  <c r="H175" i="2" l="1"/>
  <c r="H176" i="2" l="1"/>
  <c r="H177" i="2" l="1"/>
  <c r="H178" i="2" l="1"/>
  <c r="H179" i="2" l="1"/>
  <c r="H180" i="2" s="1"/>
  <c r="H181" i="2" l="1"/>
  <c r="H182" i="2" l="1"/>
  <c r="H183" i="2" l="1"/>
  <c r="H184" i="2" l="1"/>
  <c r="H185" i="2" l="1"/>
  <c r="H186" i="2" l="1"/>
  <c r="H187" i="2" l="1"/>
  <c r="H188" i="2" l="1"/>
  <c r="H189" i="2" l="1"/>
  <c r="H190" i="2" l="1"/>
  <c r="H191" i="2" l="1"/>
  <c r="H192" i="2" s="1"/>
  <c r="H19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dave allen</author>
  </authors>
  <commentList>
    <comment ref="AK52" authorId="0" shapeId="0" xr:uid="{00000000-0006-0000-0300-000001000000}">
      <text>
        <r>
          <rPr>
            <sz val="9"/>
            <color indexed="81"/>
            <rFont val="Tahoma"/>
            <family val="2"/>
          </rPr>
          <t xml:space="preserve"> </t>
        </r>
        <r>
          <rPr>
            <b/>
            <sz val="9"/>
            <color indexed="81"/>
            <rFont val="Wingdings 2"/>
            <family val="1"/>
            <charset val="2"/>
          </rPr>
          <t>P</t>
        </r>
        <r>
          <rPr>
            <sz val="9"/>
            <color indexed="81"/>
            <rFont val="Tahoma"/>
            <family val="2"/>
          </rPr>
          <t xml:space="preserve"> =</t>
        </r>
        <r>
          <rPr>
            <b/>
            <sz val="9"/>
            <color indexed="81"/>
            <rFont val="Tahoma"/>
            <family val="2"/>
          </rPr>
          <t xml:space="preserve"> Possible uplift depending on the university's regulations for borderline marks</t>
        </r>
      </text>
    </comment>
    <comment ref="Y53" authorId="0" shapeId="0" xr:uid="{00000000-0006-0000-0300-000002000000}">
      <text>
        <r>
          <rPr>
            <b/>
            <sz val="9"/>
            <color indexed="81"/>
            <rFont val="Tahoma"/>
            <family val="2"/>
          </rPr>
          <t>SEE TABLE IN INTRODUCTION</t>
        </r>
      </text>
    </comment>
    <comment ref="Z53" authorId="0" shapeId="0" xr:uid="{00000000-0006-0000-0300-000003000000}">
      <text>
        <r>
          <rPr>
            <b/>
            <sz val="9"/>
            <color indexed="81"/>
            <rFont val="Tahoma"/>
            <family val="2"/>
          </rPr>
          <t>NUMBER OF UNIVERSIIES USING THE ALGORITHM</t>
        </r>
      </text>
    </comment>
    <comment ref="CE72" authorId="0" shapeId="0" xr:uid="{00000000-0006-0000-0300-000004000000}">
      <text>
        <r>
          <rPr>
            <sz val="9"/>
            <color indexed="81"/>
            <rFont val="Tahoma"/>
            <family val="2"/>
          </rPr>
          <t>AT EITHER LEVEL 5 OR 6</t>
        </r>
      </text>
    </comment>
    <comment ref="CE73" authorId="0" shapeId="0" xr:uid="{00000000-0006-0000-0300-000005000000}">
      <text>
        <r>
          <rPr>
            <sz val="9"/>
            <color indexed="81"/>
            <rFont val="Tahoma"/>
            <family val="2"/>
          </rPr>
          <t>AT EITHER LEVEL 5 OR 6</t>
        </r>
      </text>
    </comment>
    <comment ref="CE89" authorId="0" shapeId="0" xr:uid="{00000000-0006-0000-0300-000006000000}">
      <text>
        <r>
          <rPr>
            <sz val="9"/>
            <color indexed="81"/>
            <rFont val="Tahoma"/>
            <family val="2"/>
          </rPr>
          <t>AT EITHER LEVELS 5 &amp; 6</t>
        </r>
      </text>
    </comment>
    <comment ref="CE92" authorId="0" shapeId="0" xr:uid="{00000000-0006-0000-0300-000007000000}">
      <text>
        <r>
          <rPr>
            <sz val="9"/>
            <color indexed="81"/>
            <rFont val="Tahoma"/>
            <family val="2"/>
          </rPr>
          <t>AT EITHER LEVELS 5 &amp; 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dave allen</author>
  </authors>
  <commentList>
    <comment ref="AN4" authorId="0" shapeId="0" xr:uid="{00000000-0006-0000-0400-000001000000}">
      <text>
        <r>
          <rPr>
            <b/>
            <sz val="9"/>
            <color indexed="81"/>
            <rFont val="Tahoma"/>
            <family val="2"/>
          </rPr>
          <t>%GH - taken from the Complete University Guide - see link</t>
        </r>
        <r>
          <rPr>
            <sz val="9"/>
            <color indexed="81"/>
            <rFont val="Tahoma"/>
            <family val="2"/>
          </rPr>
          <t xml:space="preserve">
</t>
        </r>
      </text>
    </comment>
    <comment ref="R85" authorId="0" shapeId="0" xr:uid="{00000000-0006-0000-0400-000002000000}">
      <text>
        <r>
          <rPr>
            <b/>
            <sz val="9"/>
            <color indexed="81"/>
            <rFont val="Tahoma"/>
            <family val="2"/>
          </rPr>
          <t>AT ANY LEVEL:</t>
        </r>
        <r>
          <rPr>
            <sz val="9"/>
            <color indexed="81"/>
            <rFont val="Tahoma"/>
            <family val="2"/>
          </rPr>
          <t xml:space="preserve">
</t>
        </r>
      </text>
    </comment>
    <comment ref="R86" authorId="0" shapeId="0" xr:uid="{00000000-0006-0000-0400-000003000000}">
      <text>
        <r>
          <rPr>
            <sz val="9"/>
            <color indexed="81"/>
            <rFont val="Tahoma"/>
            <family val="2"/>
          </rPr>
          <t>AT EITHER LEVEL 5 OR 6</t>
        </r>
      </text>
    </comment>
    <comment ref="R87" authorId="0" shapeId="0" xr:uid="{00000000-0006-0000-0400-000004000000}">
      <text>
        <r>
          <rPr>
            <sz val="9"/>
            <color indexed="81"/>
            <rFont val="Tahoma"/>
            <family val="2"/>
          </rPr>
          <t>AT EITHER LEVEL 5 OR 6</t>
        </r>
      </text>
    </comment>
    <comment ref="R116" authorId="0" shapeId="0" xr:uid="{00000000-0006-0000-0400-000005000000}">
      <text>
        <r>
          <rPr>
            <sz val="9"/>
            <color indexed="81"/>
            <rFont val="Tahoma"/>
            <family val="2"/>
          </rPr>
          <t>AT EITHER LEVELS 5 &amp; 6</t>
        </r>
      </text>
    </comment>
    <comment ref="R120" authorId="0" shapeId="0" xr:uid="{00000000-0006-0000-0400-000006000000}">
      <text>
        <r>
          <rPr>
            <sz val="9"/>
            <color indexed="81"/>
            <rFont val="Tahoma"/>
            <family val="2"/>
          </rPr>
          <t>AT EITHER LEVELS 5 &amp; 6</t>
        </r>
      </text>
    </comment>
  </commentList>
</comments>
</file>

<file path=xl/sharedStrings.xml><?xml version="1.0" encoding="utf-8"?>
<sst xmlns="http://schemas.openxmlformats.org/spreadsheetml/2006/main" count="6098" uniqueCount="1311">
  <si>
    <t>ALL</t>
  </si>
  <si>
    <t>USES TWO [EITHER / OR]</t>
  </si>
  <si>
    <t>GPA</t>
  </si>
  <si>
    <t>YEARS</t>
  </si>
  <si>
    <t>COUNTNG CREDITS</t>
  </si>
  <si>
    <t>DISCOUNT</t>
  </si>
  <si>
    <t>YEAR DICOUNTED</t>
  </si>
  <si>
    <t>Y1/Y2/Y3</t>
  </si>
  <si>
    <t>DIFFERENTIAL WEIGHTING</t>
  </si>
  <si>
    <t>SCOTS</t>
  </si>
  <si>
    <t>WALES</t>
  </si>
  <si>
    <t>LAST TWO</t>
  </si>
  <si>
    <t>YEAR THREE ONLY</t>
  </si>
  <si>
    <t>Y1</t>
  </si>
  <si>
    <t>Y2</t>
  </si>
  <si>
    <t>Y3</t>
  </si>
  <si>
    <t>50 - 50</t>
  </si>
  <si>
    <t>SPLIT CREDITS</t>
  </si>
  <si>
    <t>40 - 60</t>
  </si>
  <si>
    <t>35 - 65</t>
  </si>
  <si>
    <t>33 - 67</t>
  </si>
  <si>
    <t>32 - 68</t>
  </si>
  <si>
    <t>30 - 70</t>
  </si>
  <si>
    <t>25 - 75</t>
  </si>
  <si>
    <t>20 - 80</t>
  </si>
  <si>
    <t>COUNTING CREDITS</t>
  </si>
  <si>
    <t>W</t>
  </si>
  <si>
    <t>Years 1, 2, and 3 [NO DISCOUNTING]</t>
  </si>
  <si>
    <t>King's College London</t>
  </si>
  <si>
    <t xml:space="preserve"> </t>
  </si>
  <si>
    <t>https://www.kcl.ac.uk/campuslife/acservices/academic-regulations/assets-17-18/t30.pdf</t>
  </si>
  <si>
    <t xml:space="preserve">King's College London
T30.1For the purpose of considering students for the award of honours, module marks will be weighted as follows:For BA, BEng, BMus, BSc, BSc(Eng) and LLBdegrees:
a)the marks for the best 90 credits at level 6 (and/or level 7 where taken) will be given a weighting of 5. Condoned fails may not be included in the best 90credits
b)the marks for any remaining level 6 credits (and/or level 7 where taken) and any level 5 credits will be given a weighting of3
c)the marks for all level 4 credits will be given a weighting of 1 [THIS IS TRICKY - SINCE 30 CREDITS OF LEVEL 6 'DROP-DOWN' AND GET WEIGHTED BY A SMALLER VALUE - ALL CREDITS COUNT]
</t>
  </si>
  <si>
    <t>P</t>
  </si>
  <si>
    <t>1/3/5</t>
  </si>
  <si>
    <t>QU Belfast</t>
  </si>
  <si>
    <t>Queen's University Belfast</t>
  </si>
  <si>
    <t>https://www.qub.ac.uk/directorates/AcademicStudentAffairs/AcademicAffairs/GeneralRegulations/StudyRegulations/StudyRegulationsforUndergraduateProgrammes/#d.en.918538</t>
  </si>
  <si>
    <t xml:space="preserve">Queen's University Belfast
7.2.4 Where the overall percentage mark, presented to one decimal place and before rounding to an integer, is within three percentage points of a higher classification and at least half the weighted module marks are in the higher classification, the higher classification shall be awarded using the Predominance Rule.
The formula for the Predominance Rule is:
Let n1, n2, n3, n4 be the number of modules at Stages 1, 2, 3 and 4 respectively in which the mark is above the relevant borderline.
Let p1, p2, p3, p4 be the percentage weights at Stages 1, 2, 3 and 4 respectively (for example, if Stage 3 is weighted at 60%, then p3 = 60).
The higher classification is awarded if:
Bachelor’s degrees: n1 x p1 + n2 x p2 + n3 x p3 ≥ 300
Integrated Master’s degrees: n1 x p1 + n2 x p2 + n3 x p3 + n4 x p4 ≥ 300
This rule, and the associated formula, must be applied by all Boards except where the Director of Academic and Student Affairs has, following application from the School, granted exemption from its use. Exemption will be granted only where it is required by validating/accrediting bodies.
7.2.6 When calculating the Honours classification for students first enrolled in 2009-10 and thereafter, one of the following module weightings should be used, except where the Director of Academic and Student Affairs has, following application from the School, granted exemption from their use. Where exemption has been granted, details of the module weightings used when calculating the Honours classification will be recorded in the relevant Programme Specification:
Honours Degrees
Stage 1       Stage 2          Stage 3
10%            30%                60%
</t>
  </si>
  <si>
    <t>10/30/60</t>
  </si>
  <si>
    <t>Queen Mary</t>
  </si>
  <si>
    <t>Queen Mary University of London</t>
  </si>
  <si>
    <t>http://www.arcs.qmul.ac.uk/media/arcs/policyzone/academic/Academic-Regulations-2019-20.pdf</t>
  </si>
  <si>
    <t xml:space="preserve">2.111The Classification Mark is anaggregate mark that reflects a student’s overall performance across their programme of study. The Classification Mark always factors in weightings from modules of different credit values, and normally also factors in year weightings. It is held to one decimal place and is always calculated as if the required volume of academic credit was taken. In most cases the Classification Mark will determine the classification of a student’s award. The means of classification and the means of calculating the Classification Mark are detailed in the Academic Regulations specific to each award.
BA, BEng, BSc, BSc (Econ), BSc (Eng) (standard)
Y1  Y2  Y3 
1(10%) 3(30%)- 6(60%
</t>
  </si>
  <si>
    <t>Years 1, 2, and 3 [DISCOUNTING]</t>
  </si>
  <si>
    <t>Plymouth</t>
  </si>
  <si>
    <t>University of Plymouth</t>
  </si>
  <si>
    <t xml:space="preserve">Students who completed Level 4 in its entirety before the 2014-15 academic year, or are repeating any part of Level 4 as a next attempt in 2014-15, should refer to Appendix 2of this document for information on how the classification of the degree is calculated.
The aggregate percentage mark for students entering Level 4 from 2014/15 (or who are required to repeat Level 4 in its entirety as a first attempt from 2014/15) will be calculated as follows: 
Honours degree: Levels 4 : 5 : 6 will be weighted 1 : 3 : 6.
The Level 4 aggregate mark is calculated using the highest module marks totalling 80 credits. Where modules are arranged in such a way that the 80 credits of ‘highest module marks’ cannot be identified unequivocally, the level 4 aggregate mark calculation should take into account as close to 80 credits as possible, depending on the module structure.
Pre 2014-15
Each module is either awarded a mark out of 100(marks held to two decimal places)or designated pass/fail. The aggregate percentage mark will be calculated using the weightings:
Levels 4 : 5 : 6 will be weighted 0: 3 :7
If the student’s aggregate percentage mark falls within the boundaries of the classifications defined below, s/he is entitled to that award. First Class Honours 70%or above Second Class Honours, Upper Division 60%-69% Second Class Honours, Lower Division 50%-59% Third Class Honours 40%-49% If the aggregate percentage achieved by a candidate is not more than 3.0 percentage points below a classification band, theBoard must invoke the following alternative classification methods
So after 22014-15 they added in 80 - credits from level 1 [wonder why?]
</t>
  </si>
  <si>
    <t>UCL</t>
  </si>
  <si>
    <t>University College London</t>
  </si>
  <si>
    <t>https://www.ucl.ac.uk/ssees/sites/ssees/files/working_out_classification.pdf</t>
  </si>
  <si>
    <t xml:space="preserve">University College London – PROGRAMME SPECIFIC BUT GENERALLY
First year:       the mean of the best 90 credits is given a weighting of 1
Second year: the mean of the best 105 credits is given a weighting of 3
Final year:       the mean of all 120 credits is given a weighting of 5.
</t>
  </si>
  <si>
    <t>LSE</t>
  </si>
  <si>
    <t>London School of Economics and Political Science</t>
  </si>
  <si>
    <t xml:space="preserve">Classification Marks and the Aggregate
3. The classification of each student shall be based on nine ’classification marks’, comprising:
3.1 the marks achieved in all eight second and third year papers1;
3.2 a ninth mark being the average2 of the best three marks in first year papers1. 
For second-year direct entry students, the ninth mark will be the average of all eight second and third year papers1.4. 
The aggregate for each student is the sum of the nine ’classification marks’. In all cases, the ’classification marks’ shall be based on the marks obtained by the student in her/his latest attempt at each element of assessment for each course.5. The mark for LSE100 is not a classification mark
The degree involves studying courses to the value of 12 units, over three years, plus LSE100. Half of these are in accounting and finance, and half in related disciplines. You will have the opportunity to specialise to a certain degree in various fields within accounting and finance. Please note that the LSE100 course is under review.
L3 4X30
L2 4X30
L1 4X30 
SO BASICALLY DISCOUNTING 30 CREDITS AT LEVEL 1
</t>
  </si>
  <si>
    <t>1/1/1</t>
  </si>
  <si>
    <t>Goldsmiths</t>
  </si>
  <si>
    <t>Goldsmiths, University of London</t>
  </si>
  <si>
    <t xml:space="preserve">Page 11 of   16 Progression and Award for Students on Taught Programmes Goldsmiths, University of London
9.2 Formulae for the calculation of final classifications 
9.3 Undergraduate Honours Degrees 
9.3.1 The scheme of classification is as follows:1070% -100%11First class1260% -69%13Upper second class (2.1)1450% -59%15Lower second class (2.2)1640% -49%17Third class
9.3.2 Undergraduate degrees are governed by a classification scheme entitled ‘Formula for the Final Weighted Average Mark’.
9.3.3 Under this formula the student’s final degree classification is calculated using the marks from modules to the value of 300 credits as follows:
10 Best 90 credits at Level 4 (year one) weighting applied x1
11 Best 105 credits at level 5 (year two) weighting applied x3
12 Best 105 credits at level 6 (year three) weighting applied x5
</t>
  </si>
  <si>
    <t>Years 2 and 3 [NO DISCOUNTING]</t>
  </si>
  <si>
    <t>Aberystwyth</t>
  </si>
  <si>
    <t>Aberystwyth University</t>
  </si>
  <si>
    <t>https://www.aber.ac.uk/en/student/intro-modularisation/section-4/</t>
  </si>
  <si>
    <t xml:space="preserve"> In calculating the weighted average mark the following rules will apply:
    Marks will be weighted according to the credit value of each module (i.e. 20 credit modules having twice the weighting of 10 credit modules etc.
    Marks will be arranged in a 'cascade' according to the following rules:
    Band 3: Best 80 Level 3 credits, given a weighting of 3.
    Band 2: Next best 80 Level 3 and Level 2 credits, with a weighting of 2.
    Band 1: Remainder of Level 3 and 2 and Level 1 credits, with a weighting of 1.
    Note: In allocating marks to Bands, no Level 2 mark may appear in a Band higher than that in which a Level 3 mark appears.
    Conventions for 4 and 5 year schemes are based upon this model with variations according to the number of credits taken. Details are available from Departments or the Academic Office. </t>
  </si>
  <si>
    <t>PROFILE</t>
  </si>
  <si>
    <t>Middlesex</t>
  </si>
  <si>
    <t>Middlesex University</t>
  </si>
  <si>
    <t>Robert Gordon</t>
  </si>
  <si>
    <t>Robert Gordon University</t>
  </si>
  <si>
    <t>https://www3.rgu.ac.uk/about/schools-and-departments/administration-and-support/governance-and-academic-quality/quality-assurance-and-regulations/academic-regulations</t>
  </si>
  <si>
    <t xml:space="preserve">6.2.4 The honours classification shall be based upon grades achieved at the first assessment opportunity. On this basis the decisions of the Assessment Board shall normally reflect the following criteria: 
Class 1 At least 50% of the SCQF credits represented by the modules contributing to the honours classification to be at Grade A, at least 75% of the SCQF credits to be at Grade B or better, and normally 100% of the SCQF credits to be at Grade C or better. 
Class 2.1 At least 50% of the SCQF credits represented by the modules contributing to the honours classification to be at Grade B or better, at least 75% of the SCQF credits to be at Grade C or better, and normally 100% of the SCQF credits to be at Grade D or better. 
Class 2.2 At least 50% of the SCQF credits represented by the modules contributing to the honours classification to be at Grade C or better, and at least 75% of the SCQF credits to be at Grade D or better. 
Class 3 At least 50% of the SCQF credits represented by the modules contributing to the honours classification to be at Grade D or better. 
Fail The student has failed to achieve any of the above.
</t>
  </si>
  <si>
    <t>SOAS</t>
  </si>
  <si>
    <t>SOAS, University of London</t>
  </si>
  <si>
    <t>https://www.soas.ac.uk/registry/degreeregulations/file133003.pdf</t>
  </si>
  <si>
    <t>Abertay</t>
  </si>
  <si>
    <t>Abertay University</t>
  </si>
  <si>
    <t>Arden</t>
  </si>
  <si>
    <t>Arden University</t>
  </si>
  <si>
    <t>https://d2n98vq36tw7n9.cloudfront.net/s3fs-public/2019-07/Arden_University_regulatory_framework.pdf</t>
  </si>
  <si>
    <t>In calculating base class, account will be taken of the credit value of each module mark. The classification will be based on a weighted arithmetic mean of the highest graded 180 credits of which minimum 100 are at Level 6 and the remainder at Level 5. Anygradeat Level 5 or Level 6 which attracted an unfair practice penalty in category UPC must be included in the classification calculation as part of the 180 creditstotal. All major projects must be included in the calculation.  = 240 5/6 1/1</t>
  </si>
  <si>
    <t>Bishop Grosseteste</t>
  </si>
  <si>
    <t>Bishop Grosseteste University</t>
  </si>
  <si>
    <t>See word document</t>
  </si>
  <si>
    <t>Buckingham</t>
  </si>
  <si>
    <t>University of Buckingham</t>
  </si>
  <si>
    <t>https://www.buckingham.ac.uk/wp-content/uploads/2019/11/3.3-General-Regulations-for-First-Degrees.pdf</t>
  </si>
  <si>
    <t>Classification of the degree will be based on the highest-scoring 240 credits achieved after the Preliminary stage, of which a minimum of 90 credits must be at level 6. No candidate who has gained sufficient credit and the requisite FHEQ levels for the award of a degree shall be permitted to enhance the classification of their degree by re-sitting examinations after having completedin full the programmes of study prescribed for the degree.</t>
  </si>
  <si>
    <t>Edinburgh</t>
  </si>
  <si>
    <t>University of Edinburgh</t>
  </si>
  <si>
    <t>https://www.ed.ac.uk/academic-services/students/assessment/degree-classification</t>
  </si>
  <si>
    <t xml:space="preserve">The majority of undergraduate degrees at the University are classified based on the average mark for all courses taken in the third and fourth year of study (the Honours years), weighted according to the number of credits allocated to the course. Courses taken in the Honours years are usually weighted equally according to their credit (i.e. every 10 credits has the same value), since they represent study at the same level (Scottish Credit and Qualifications Framework Level 10). Using a broad range of courses to reach a classification allows students to demonstrate competency in a variety of subjects, and offers the opportunity to offset weaker performance in some courses. 
55.2For degrees with two honours years, including degree programmes with an obligatory period of residence/study abroad, the classification is based on performance in both honours years, which are equally weighted except for:
</t>
  </si>
  <si>
    <t>OU</t>
  </si>
  <si>
    <t>The Open University</t>
  </si>
  <si>
    <t>We will use 240 credits from result grades from Open University or collaborative scheme modules – 120 credits of Open University second level modules from Stage 2 and 120 credits of Open University third level modules from Stage 3. EQUAL WEIGHING?</t>
  </si>
  <si>
    <t>St Andrews</t>
  </si>
  <si>
    <t>University of St Andrews</t>
  </si>
  <si>
    <t>https://www.st-andrews.ac.uk/policy/academic-policies-assessment-examination-and-award-honours-degree-classification/honours-classification.pdf#d.en.240401</t>
  </si>
  <si>
    <t xml:space="preserve">The Honours Classification Algorithm uses as the primary determinant of degree classification the credit-weighted mean and median of all Honours-level grades awarded in the Honours years. [WHICH I TAKE TO BE Y2 Y3 ’240 CREDITS see below]
There are no discretionary classification border zones. Only one decimal place is used in calculations of means and medians. Values are rounded to the nearest  one  decimal  place.  Values  that  are  equi-distant  from  two  possible  rounded  values  are rounded up. For example, 16.449 is rounded to 16.4; 16.450 and 16.451 are both rounded to 16.5. 
Calculation protocols The Senate Regulations specify that 
“at least 240 credits should be gained during an approved two year Honours programme” etc. 
For students who have taken extra modules, the calculation of mean and median must include all modules (allowing for the exceptions noted below). Thus a student cannot take an extra module with a view to disposing of another with a poorer grade. Special provision may, however, be made for students who “step back” from an Integrated Masters degree to a BSc.Only grades from 3000-level, 4000-level and (where applicable) 5000-levelmodules are enteredinto the algorithm. In other words, grades achieved for “dip down” modules taken during the Honours programme do not enter the algorithmic calculation for the Honours degree classification.
</t>
  </si>
  <si>
    <t>York St John</t>
  </si>
  <si>
    <t>York St John University</t>
  </si>
  <si>
    <t>https://www.yorksj.ac.uk/registry/regulations/regulations-for-undergraduate-awards/#UG-CLASS</t>
  </si>
  <si>
    <t>10.6  Bachelors' Degrees with Honours are normally classified on the basis of all modules taken in the final two levels of a degree programme, weighted according to their credits. Exceptions to this arrangement will have been agreed by the Quality and Standards Committee for specific programmes or individuals and normally require classification on the basis of final level modules only.</t>
  </si>
  <si>
    <t>Birmingham City</t>
  </si>
  <si>
    <t>Birmingham City University</t>
  </si>
  <si>
    <t>https://bcuassets.blob.core.windows.net/docs/birmingham-city-university-academic-regulations-2018-19-first-edition-approved-140918-further-final-edit-091018-131840772710522149.pdf</t>
  </si>
  <si>
    <t xml:space="preserve">5.2.4A 3-year honours degree will be awarded to students who achieve 360 credits across stages 1, 2 and 3, following the application of rules on compensation and condoned credit.  Award classification shall be calculated according to the grand mean based on a ratio of 40:60 for stages 2 and 3.  </t>
  </si>
  <si>
    <t>BPP</t>
  </si>
  <si>
    <t>BPP University</t>
  </si>
  <si>
    <t>https://s3-eu-west-1.amazonaws.com/bppassets/public/assets/pdf/PARCs/School-of-Business-and-Technology/BSc-Hons-Accounting-and-Finance-PARC.pdf</t>
  </si>
  <si>
    <t>2/3 40/60 TWO DEGREES ACC +  NURSING</t>
  </si>
  <si>
    <t>Chichester</t>
  </si>
  <si>
    <t>University of Chichester</t>
  </si>
  <si>
    <t xml:space="preserve">6C.1In calculating the final award of the Honours degree all grades achieved at FHEQ Levels 5 and 6 will be aggregated, such that the 120 Level 5 credits will be weighted as 40%of the award and the 120 Level 6 credits as 60%of the award.  The classification of an Honours degree forstudents entering directly to Level 6 at Chichester will be calculated in accordance with programme requirements and will be based on an aggregate of the marks achieved at this level.If fewer than 60 Level 5 credits are studied at Chichester then the award calculation will be based solely on the Level 6profile of marks but if 60 credits or more are studied at Chichester </t>
  </si>
  <si>
    <t>Dundee</t>
  </si>
  <si>
    <t>University of Dundee</t>
  </si>
  <si>
    <t>3.7.3 For standard honours programmes (i.e. where students graduate after completion of SHE level 4), the degree class should be determined using a combined average of the module grades from stages 3 and 4 weighted 40:60.Note that the stage weighting is based on the year of study and not the SCQF level.For example, an SCQF level 10 module taken at stage 3would be weighted as 40, and an SCQF level 9 module taken at stage 4 would be weighted as 60.</t>
  </si>
  <si>
    <t>Durham</t>
  </si>
  <si>
    <t>Durham University</t>
  </si>
  <si>
    <t>How is my final degree classification calculated?
Your degree classification is based on your final average mean weighted mark (AMW), which is calculated as follows. For 3-year degrees (BSc) your Level 2 and Level 3 averages are weighted in the ratio 2:3. For 4-year degrees (MPhys/MSci) your Level 2, Level 3 and Level 4 averages are weighted in the ratio 2:3:4. There is a table showing Degree Class vs. Mark Range at https://www.dur.ac.uk/physics/students/assessment/. So for example a BSc student who gets an average of 50% in Level 2 and 70% in Level 3 will have a final AMW of 62%, which corresponds to an upper second class degree. Note: there are rules about the number of modules that you are allowed to fail and also about the seriousness of the fails, so even if you end up with a final AMW of, say, 60%, you may not be eligible for an honours degree.</t>
  </si>
  <si>
    <t>East Anglia</t>
  </si>
  <si>
    <t>University of East Anglia</t>
  </si>
  <si>
    <t>15.3.1The Board shall receive for each student:(a)the final module marks contributing to the degree, together with the component marks achieved at the original attempt and any reassessment attempt.(b)a Stage aggregate mark for each year contributing to the final award mark, expressed as a percentage and taking credit weightings into account;(c) a final award mark calculated from the Stage aggregate mark for each contributing year according to the following percentage weighting: Y2 40/Y3 60</t>
  </si>
  <si>
    <t>Essex</t>
  </si>
  <si>
    <t>University of Essex</t>
  </si>
  <si>
    <t>https://www.essex.ac.uk/-/media/documents/directories/academic-section/rules-of-assessment/2019/ug-three-year-courses19.pdf</t>
  </si>
  <si>
    <t xml:space="preserve">Degree eligibility and classification 
3.63 To achieve a degree, you must attempt 360 credits and pass at least 330 credits across your degree with at least 90 credits at level 6. All core modules must be passed. 
3.64 Your marks from Year Two and the Final Year are used to calculate an overall degree mark. Your Year Two mark counts as 40% and your Final Year mark counts as 60% (but see 3.68 below). The degree mark is used to determine your degree class. This is set out in Table 3.3 below. 
3.65 Your degree is classified using your degree mark. If your degree mark is within two marks of the next classification you will receive the higher class if you have at least 120 of your credits across Year Two and the Final Year in the higher class (as set out in Table 3.3 below). 
3.66 There are a limited number of courses that have a variation to this weighting. Full details of these can be found in the variations to the Rules of Assessment [web link to be inserted]. 
3.67 Module marks, Year marks and your degree mark are rounded to the nearest whole number, with half marks (ie .5) or more being rounded up. 
</t>
  </si>
  <si>
    <t>Kent</t>
  </si>
  <si>
    <t>University of Kent</t>
  </si>
  <si>
    <t>https://www.kent.ac.uk/teaching/qa/guidance/changesclassificationug.html</t>
  </si>
  <si>
    <t>Newman-Birmingham</t>
  </si>
  <si>
    <t>Newman University, Birmingham</t>
  </si>
  <si>
    <t>https://www.newman.ac.uk/wp-content/uploads/sites/10/2018/04/General-Academic-Regulations-201920-V1-July-2019-Published-050819.pdf</t>
  </si>
  <si>
    <t>5/6 40/60</t>
  </si>
  <si>
    <t>Northumbria Newcastle</t>
  </si>
  <si>
    <t>Northumbria University Newcastle</t>
  </si>
  <si>
    <t>The Honours degree classification is computed based on the most favourable outcome to the student using the averaged mark of either the qualifying modules in levels 6:5 weighted 60:40 or the qualifying modules in level 6 only</t>
  </si>
  <si>
    <t>Suffolk</t>
  </si>
  <si>
    <t>University of Suffolk</t>
  </si>
  <si>
    <t>SAME AS ESSEX AND UEA</t>
  </si>
  <si>
    <t>Sussex</t>
  </si>
  <si>
    <t>University of Sussex</t>
  </si>
  <si>
    <t xml:space="preserve">For undergraduate students who achieve the credit required your degree classification is based on the stage means that contribute to your grand mean (usually stage 2 is weighted at 40% and stage 3 is weighted at 60%).  (Please refer to 'Award Regulations'). 
Calculation of the classification150.The calculation of the classification will be determined using the following algorithm:
•Stage 2 mean based on all 120 credits with a weighting of 40%
•Stage 3 mean based on all 120 credits from stage 3 with a weighting of 60%
</t>
  </si>
  <si>
    <t>Winchester</t>
  </si>
  <si>
    <t>University of Winchester</t>
  </si>
  <si>
    <t>Writtle College</t>
  </si>
  <si>
    <t>Writtle University College</t>
  </si>
  <si>
    <t>https://writtle.ac.uk/pdfs/UG_Rules_of_Assessment_2019-20.pdf</t>
  </si>
  <si>
    <t xml:space="preserve">4.3.1 A student’s degree class is based upon Stage Two and Stage Three marks. Stage Two and Stage Three marks are weighted 40% and 60% respectively and combined to give the Degree Mark. </t>
  </si>
  <si>
    <t>York</t>
  </si>
  <si>
    <t>University of York</t>
  </si>
  <si>
    <t xml:space="preserve">How is my degree class calculated? DEGREE CLASSIFICATION
The Bachelor Honours and Integrated Masters awards are classified degrees (see Question 3 for the different classes). Your degree classification is calculated using the stage mark from each of stages 2 and above.The stage mark is the average of your first attempt module marks, with each module weighted according to the number of credits. If you are allowed a ‘sit-as-if-for-the-first-time’, this mark will replace your first attempt mark. However resit marks are only used to allow you to progress (see Questions 1 and 2) –they are not used to calculate your degree classification. Pass/fail modules do not contribute to your degree classification (although you must pass them) and stage marks are not rounded up or down
The stage marks are combined to calculate the award mark. Whencombining the marks for each of the stages, modules from Stage 2 are given a slightly lower weighting than later stages.Bachelorsis a 2:3 ratio (40% of the grade is taken from Stage 2 and 60% from Stage 3).To calculate, multiply the Stage 2 mark by 2 and the Stage 3 mark by 3, then divide the total by 5:Stage 2 mark of 45: (45 x 2 = 90)Stage 3 mark of 57: (57 x 3 = 171)90 + 171 = 261261 / 5 = 52.2
</t>
  </si>
  <si>
    <t>Surrey</t>
  </si>
  <si>
    <t>University of Surrey</t>
  </si>
  <si>
    <t>FHEQ level 5 (35):FHEQ level 6 (65)35:65</t>
  </si>
  <si>
    <t>Bangor</t>
  </si>
  <si>
    <t>Bangor University</t>
  </si>
  <si>
    <t>For Bachelor’s Degree(Honours)Overall % = [L5+(L6x 2)] / 3</t>
  </si>
  <si>
    <t>Birkbeck</t>
  </si>
  <si>
    <t>Birkbeck, University of London</t>
  </si>
  <si>
    <t xml:space="preserve">43.0.Determination of Honours Classification:
43.1.An Honours classification may only be awarded for undergraduate Honours programmes (single, joint and major/minor).
43.2.The overall module results at Level 4 DO NOT contribute to the weighted average in determination of classification. Only modules at Credit Levels 5 and 6, that have been assigned a mark of 0-100, contribute to the classification of Honours.
43.3.All modules at credit levels 5 and 6 that have been assigned a mark of 0-100, will be given a weighted result which is calculated as follows:
(i) Each of these modules will be assigned a weighting, w, where w=1 for a level 5 module and w=2 for a level 6 module.
(ii) Each of these modules will have a value, v, where v= one thirtieth of the credit point value of the module (namely, 0.5, 1.0, or 2.0). [I THINK THIS IS ABOUT WEIGHTING CREDITS FOR 15/30/6 REDIT MODULES
(iii) For each of these modules there shall be a result awarded by the Sub-board of Examiners on the College Common Scale, m.
(iv)The weighted average result will be the sum of the products (v*w*m) for each module, divided by the sum of the products (v*w) for each of these modules, expressed as follows:∑ViWiMi / ∑ViWi
(v)The classification of honours degree to be awarded will be based on the average of all the weighted results for completed modules from Credit Levels 5 and 6 that have been assigned a mark of 0-100.
(vi)The College sets the class of Degree that may be awarded as follows
</t>
  </si>
  <si>
    <t>Brunel</t>
  </si>
  <si>
    <t>Brunel University</t>
  </si>
  <si>
    <t>A4.For honours bachelors degrees, the weighting of Levels in the profile of grades and grade-point average for the determination of award and classification shall be:
•FHEQ Level 4: no weighting;
•FHEQ Level 5: 1/3;
•FHEQ Level 6: 2/3</t>
  </si>
  <si>
    <t>Buckinghamshire New University</t>
  </si>
  <si>
    <t>41. Honours degrees of 120 credits each at Levels 4, 5 and 6 have the overall weighted average calculated from the Level 5 weighted average and a double weighted Level 6 weighted average, unless otherwise detailed in approved Programme Specifications.</t>
  </si>
  <si>
    <t>Exeter</t>
  </si>
  <si>
    <t>University of Exeter</t>
  </si>
  <si>
    <t xml:space="preserve">Three year Bachelors programmes The credit-weighted mean of the second and third stages weighted 1:2
</t>
  </si>
  <si>
    <t>Falmouth</t>
  </si>
  <si>
    <t>Falmouth University</t>
  </si>
  <si>
    <t xml:space="preserve">3.35 In the case of a Bachelor’s degree with honours, where Falmouth University has assessed all credit at stages 2 and 3 (Levels 5 and 6), either column A or column B below applies, whichever gives the better result. In the case of a placement year, the 120 Level 5 placement credits count towards the award but are not used in classification. Where Falmouth University has assessed only the credit at stage 3 (Level 6), the column A only applies. Where Falmouth University has assessed all credit at stage 3 (Level 6), and less than 120 credits at stage 2 (Level 5), the column A only applies.  [A] Weighted average of all credit at Level 6 is
[B] In the ratio 33:67, the weighted average of all credit at Levels 5 and 6 is
</t>
  </si>
  <si>
    <t>Keele</t>
  </si>
  <si>
    <t>Keele University</t>
  </si>
  <si>
    <t xml:space="preserve">1.3.1      Provided you have met the credit requirements to obtain your degree, your degree will be classified based upon the marks you obtain at both Level 5 and Level 6, using a weighted average module mark, which is calculated in four steps as described in section 1.3.2 below.  In the calculation, the following rules apply:
(a)      This average module mark will be weighted, based upon the credit value of each module; so for example, a 30-credit module will carry twice the weight of a 15-credit module.
(b)      In cases where, either at Level 5 or Level 6, more than 120 credits of modules are required, the 120 credits with the highest module marks will be used in the calculation process.  
(c)       If you repeat a year of study at Level 5 or Level 6, the marks you obtain from the modules taken in the repeat year will be used in the calculation process.
(d)      If your degree programme includes two years of study at Level 6, the average of the marks from the 240 credits of modules studied will be used in the calculation process.
(e)      The marks you obtain from any Level 5 modules whilst undertaking a semester study abroad will be used in your degree classification.
(f)       The mark/s you obtain from any modules studied during an International Year, Placement Year or Entrepreneurship Year will not be used in your degree classification.
1.3.2 Your weighted average module mark and degree classification are determined as follows:
Step 1: A Level 5 average module mark will be calculated, based upon the marks you obtain from your Level 5 modules.
Step 2: A Level 6 average module mark will then be calculated, based upon the marks you obtain from your Level 6 modules.
Step 3: A weighted average module mark will be calculated, based upon the sum of one third of your Level 5 average module mark and two thirds of your Level 6 average module mark.  
Step 4: This weighted average module mark will be rounded to the nearest integer (with marks of 0.5 or above rounded up) and will be used to determine your degree classification, as follows:
FIRST CLASS HONOURS
o A weighted average module mark of at least 70%
o OR a weighted average module mark of at least 67%  AND at least 60 Level 6 credits with a mark of 70 or higher
SECOND CLASS HONOURS (Division I)
o A weighted average module mark of at least 60%
o OR a weighted average module mark of at least 57% AND at least 60 Level 6 credits with a mark of 60 or higher
SECOND CLASS HONOURS (Division II)
o A weighted average module mark of at least 50%
o OR a weighted average module mark of at least 47% AND at least 60 Level 6 credits with a mark of 50 or higher
THIRD CLASS HONOURS
o A weighted average module mark of at least 40%
PASS
o A weighted average module mark of at least 35%
</t>
  </si>
  <si>
    <t>Leeds Arts</t>
  </si>
  <si>
    <t>Leeds Arts University</t>
  </si>
  <si>
    <t>https://portal.leeds-art.ac.uk/sites/default/files/documents/Academic-Regulations-2019-20-Undergraduate-B.pdf</t>
  </si>
  <si>
    <t xml:space="preserve">BA (Hons) AnimationBA (Hons) Creative AdvertisingBA (Hons) Fashion BA (Hons) Fashion PhotographyBA (Hons) Graphic DesignBA (Hons) IllustrationBA (Hons) Photography
9.2Classification of bachelor’s degrees9.2.1Classification of bachelor degrees will be based on the average mark across all modules within Level 6and Level 5at a ratio of 2:1 respectively i.e. the final classification grade will constitute 66.67% of the Level 6average and 33.33% of the Level 5average.For the purpose of calculating the average mark for Level 5and Level 6, marks are roundedto 2 decimal places.
BA (Hons) Comic &amp; Concept ArtBA (Hons) Creative WritingBA (Hons) Fashion Branding with CommunicationBA(Hons) Fashion DesignBA (Hons) FilmmakingBA (Hons) Fine ArtBMus (Hons) Popular Music PerformanceBA (Hons) Textile DesignBA (Hons) Visual Communication
Classification of bachelor degrees will be based on the average mark across all modules within Level 6and Level 5at a ratio of 2:1 respectivelyi.e. the final classification grade will constitute 66.67% of the Level 6average and 33.33% of the Level 5 average.For the purpose of calculating the average mark for Level 5and Level 6, marks are rounded to 2 decimal places.
</t>
  </si>
  <si>
    <t>Leicester</t>
  </si>
  <si>
    <t>University of Leicester</t>
  </si>
  <si>
    <t xml:space="preserve">Part 2Calculating the Credit Weighted Average1.Three Year Degree Programmes
5.36.Degree classifications will be determined on the basis of a credit weighted average or on the basis of credit weighted average and a specified number of credits within the degree classification. Marks of individual modules and credit weighted averages are expressed to two decimal places.
5.37.The credit weighted average for three year undergraduate degree programmes is calculated on the basis of all level 5 and level 6 module marks, with a weighting of 33:67. 
5.38.Level 5 and level 6 averages are calculated independently, and then combined. If the modules in a level have different credit values (e.g. some 15 and some 30) they are weighted by their credit value in calculating the level average. If all modules in a level have the same credit value the average for the level is a simple average
</t>
  </si>
  <si>
    <t>Liverpool Hope University</t>
  </si>
  <si>
    <t>https://www.hope.ac.uk/searchresults/?cx=005335823973779870949%3Av9qhucrmh8i&amp;cof=FORID%3A11&amp;ie=ISO-8859-1&amp;q=DEGREE+CLASSIFICATION&amp;hl=en&amp;option=com_googlesearch_cse&amp;n=30</t>
  </si>
  <si>
    <t xml:space="preserve">2.1 All Degrees EXCEPT the four-year BA Primary Teaching [with Specialist Subject] and its related BA Primary Education [with Specialist Subject] but including BA Primary Education with recommendation for QTS (3 year route) and BA Non Teacher Training (BANTT) 
The system is based on the ‘best of’ two overall aggregate marks, with profiling in the case of students who fail within the borderline of two degree classifications. Specifically, 
2.1.1 Recommendations shall normally be based on the following “degree marks” the:
• Overall Aggregate, combining marks from Level C [weighted 10%], Level I [weighted 30%] &amp; Level H [weighted 60%];
• Overall Aggregate, combining marks from Level I [weighted 25%] &amp; Level H [weighted 75%]; [LIKELY MORE GENEROUS]
The lower Overall Aggregate shall be ignored. The overall average will be rounded to the nearest whole number (decimal places up to four are rounded down, decimal places of five or more are rounded up). A student’s degree will then be classified based on an initial assessment of whether their rounded aggregate determined as detailed in 2.1-2.3 of these regulations falls within the following categories:
• First Class Honours 70%+ 
• Upper Second Class Honours 60-69%
• Lower Second Class Honours 50-59%
• Third Class Honours 40-49%
• Pass degree awarded at the University’s discretion in exceptional circumstances, for example academic misconduct.
Where the overall aggregate falls within two rounded marks of the classification borderline the students profile will be scrutinised further at the examination board. Such borderline candidates will have their Level H profile considered in more detail before confirming their overall degree classification. The higher classification will be awarded if the Level H profile confirms that the student achieved, on initial assessment, a minimum of 60 credits approved for that award at the higher classification.
LEVEL C = Y1
LEVEL I = Y2
LEVEL H = Y3
</t>
  </si>
  <si>
    <t>Reading</t>
  </si>
  <si>
    <t>University of Reading</t>
  </si>
  <si>
    <t>http://www.reading.ac.uk/web/files/qualitysupport/17_Awards_Bachelors_degrees_with_annex.pdf</t>
  </si>
  <si>
    <t xml:space="preserve">READING
17.2WEIGHTING
The awarding of three-year Bachelor’s degrees will be based on the marks of Part 2 and Part 3 weighted 1:2. 
The awarding of four-year Bachelor’s degrees (except for programmes incorporating a placement year or a year abroad) will normally be based on the marks for Years 2, 3 and 4, weighted 1:1:4. In the case of four-year Bachelor’s degree programmes with an industrial placement year, the placement year may be pass/fail or may contribute to the degree classification. In the latter case, normally, Year 2 will contribute 23% of the overall assessment, the placement year 10% of the overall assessment and Year 4 will contribute 67% of the overall assessment. Exceptions to this arrangement are set out in Annex 1of this section. The programme specification will set out the manner in which the placement year will contribute.
</t>
  </si>
  <si>
    <t>Royal Holloway</t>
  </si>
  <si>
    <t>Royal Holloway, University of London</t>
  </si>
  <si>
    <t xml:space="preserve">Classification of candidates
(1)Marks counting in the first stage of programmes leading to the award of BA, BMus, BSc, BSc (Econ), LLB, BEng, MEng and MSci will not be taken into account when classifying candidates.
(2) Forcandidates for the award of BA, BMus, BSc, BSc (Econ), BEngand LLB, the Final Average will be calculated to one decimal placeas follows:2nd Stage Average + 2x(final Stage Average)3
I.E L2 X1 L3 X2 33/66
</t>
  </si>
  <si>
    <t>Sheffield</t>
  </si>
  <si>
    <t>University of Sheffield</t>
  </si>
  <si>
    <t>https://www.sheffield.ac.uk/polopoly_fs/1.743323!/file/22_Reg_XV_General_Regulations_for_First_Degrees.pdf</t>
  </si>
  <si>
    <t>For students commencing Level 2 of a programme of study in or after September 200651. In the case of a student commencing Level 2 of a programme of study in or after September 2006, a grade awarded at Level 3 or Level 4 has twice the weight of a grade awarded at Level 2. 52. In the case of a student commencing Level 2 of a programme of study in or after September 2006, the Examiners for each programme of study will adopt the method set out in the foll owing Regulations. 1-2 L2 L3</t>
  </si>
  <si>
    <t>Southampton</t>
  </si>
  <si>
    <t>University of Southampton</t>
  </si>
  <si>
    <t>Weighting of Parts Part I work shall be excluded from the final degree classification. A weighting of 0:1:2 shall be used to obtain the Final Average Mark for the three Parts of an Honours degree programme, and a weighting of 0:1:2:2 for the four Parts of an integrated Masters programme. This is in addition to weighting by credit points (for example, where Parts III and IV do not contain the same number of credit points)</t>
  </si>
  <si>
    <t>Bath</t>
  </si>
  <si>
    <t>University of Bath</t>
  </si>
  <si>
    <t>https://www.bath.ac.uk/publications/student-transcript-examples/attachments/Transcript-example.pdf From sample transcript th ratio appears to be 32% Y2 - 68% Y3</t>
  </si>
  <si>
    <t>AECC</t>
  </si>
  <si>
    <t>Anglo-European College of Chiropractic</t>
  </si>
  <si>
    <t>https://www.aecc.ac.uk/media/7970/aecc_assessment_regs_allcourses-final-forsept2019.pdf</t>
  </si>
  <si>
    <t>For a Bachelors degree with Honours, Level 6 units will normally have a weighting of 70% towards final degree classification, with 30% weighting for Level 5 units. Honours classification will be based on Level 6 units only in the case of candidates with advanced standing admitted directly to Level 6. 240 5/6 30/70</t>
  </si>
  <si>
    <t>Bournemouth</t>
  </si>
  <si>
    <t>Bournemouth University</t>
  </si>
  <si>
    <t>For a Bachelors degree with Honours, Level 6 units will normally have a weighting of 70% towards final degree classification, with 30% weighting for Level 5 units. Honours classification will be based on Level 6 units only, in the case of candidates with advanced standing admitted directly to Level 6. Degree classification will be calculated in whichever of the following is more advantageous to the student: Mark  profile:  where  a  student  achieves  an  aggregate  mark  which  is  not  more  than  3 marks  below  a  classification  boundary  (50,  60  or  70)  and  has  at  least  80  credits  at Level  6 in  a  higher  classification  than  the  aggregate  mark,  the  Assessment  Board  will recommend that the higher classification be awarded.</t>
  </si>
  <si>
    <t>Cardiff University</t>
  </si>
  <si>
    <t xml:space="preserve">CARDIF
3 year programmes: Either:Or:
  Level Weighting
Rule 2  5 40%
             6 60%
Rule 3  5  30%
             6  70%
</t>
  </si>
  <si>
    <t>Harper Adams</t>
  </si>
  <si>
    <t>Harper Adams University</t>
  </si>
  <si>
    <t xml:space="preserve">10.3Classification of the Degree with Honours The classification of the Degree with Honours awards is based upon a mean mark derived from the level 5 and 6 credit that contributes to the award, including credit brought forward from Harper Adams’ interim awards (as at Section 4.5.12 of the Academic Quality Assurance Manual). The mean mark for modules is determined separately for level 5 and 6 after weighting for the credit value of modules. 
The overall mean will then be derived as follows:(mean mark level 5 modules x 0.3) + (mean mark level 6 modules x 0.7).
This does not apply to awards incorporating level 5 or 6 credit from other institutions (other than under the provisions of 6 above). In these cases, the overall classification is based solely on the weighted mean mark of modules achieved through Harper Adams’ assessment arrangements, where weighting is determined by credit value with no differential by level for a normal ‘conversion’ programme (as Section 4.5.12 of the Academic Quality Assurance Manual).
</t>
  </si>
  <si>
    <t>Hull</t>
  </si>
  <si>
    <t>University of Hull</t>
  </si>
  <si>
    <t xml:space="preserve">39Honours degrees: weighting
(a)For the purposes of progression and award each degree programme musthave specific weightings at each level: 
i.For 360 credit Honours degree programmes the following weightings must be appliedat each level: Level 4: 0
Level 5: 30
Level 6: 70
</t>
  </si>
  <si>
    <t>LIBF</t>
  </si>
  <si>
    <t>London Institute of Banking and Finance, The</t>
  </si>
  <si>
    <t>https://www.libf.ac.uk/docs/default-source/HE/HE-Policies/general-and-academic-regulations(ii).pdf?sfvrsn=6bca408d_28</t>
  </si>
  <si>
    <t>5/6 30/70</t>
  </si>
  <si>
    <t>Liverpool</t>
  </si>
  <si>
    <t>University of Liverpool</t>
  </si>
  <si>
    <t xml:space="preserve">System for the Classification of Three-Year Non-Clinical Undergraduate Degrees
1.1The system is based on the use of an overall average of the weighted marks for year 2 and year  3 as  the  first  indicator  of  the  degree  classification,  with  a  system  of  profiling  being employed in cases of students whose averages are at the borderline between classifications.  The system will operate as follows for three-year non-clinical undergraduate degrees
1.4 WeightingThe marks for year two and year three are used to determine the degree classification, with a 30:70 year two/year three weighting applied.
</t>
  </si>
  <si>
    <t>RAU</t>
  </si>
  <si>
    <t>Royal Agricultural University</t>
  </si>
  <si>
    <t>https://www.rau.ac.uk/sites/files/rau/ACADEMIC%20REGULATIONS%20V1.1%20FINAL%20%28review%20date%20amended%20to%202020%29.pdf</t>
  </si>
  <si>
    <t>145.Candidates for the award of a BSc or BA Honours Degree who have achieved the required credits as specified above and whose average score in the final assessment is 40% or above will be awarded an honours degree. The final assessment will normally comprise the results of level 5 and level 6 studies weighted at 30% for level 5 and 70% for level 6.</t>
  </si>
  <si>
    <t>Regent's London</t>
  </si>
  <si>
    <t>Regent's University London</t>
  </si>
  <si>
    <t>https://www.regents.ac.uk/sites/default/files/2019-07/Regent%27s-UniversityLondon_Section%20E_Undergraduate-Level-%28Levels%204-6%29_Academic-Regulations_2019-20.pdf</t>
  </si>
  <si>
    <t>E11.8 Classification Weighting In line with best practice [AS IF .... ] across the higher education sector, the Regent’s University London model for determining the classification of an award is that only levels 5 and 6 of an undergraduate programme of study count towards final degree classification. The method for determining final classification is based on a credit based average of the Total Module Marks, weighted as follows: • Level 5 30% towards final classification • Level 6 70% towards final classification</t>
  </si>
  <si>
    <t>Staffordshire</t>
  </si>
  <si>
    <t>Staffordshire University</t>
  </si>
  <si>
    <t>Average level 5 percentage mark at a 30% weighting combined with the average level 6 percentage mark at a 70% weighting.</t>
  </si>
  <si>
    <t>Ulster</t>
  </si>
  <si>
    <t>Ulster University</t>
  </si>
  <si>
    <t>The assessment results from Levels 3 or 4 shall not contribute to the final Honours degree result. The final classification shall normally be based on the assessment results from all modules at Levels 5 and 6, with Level 5 contributing 30% to the overall result. The weighting of each module’s contribution to the final result shall be determined by the module’s credit value.</t>
  </si>
  <si>
    <t>Arts University Bournemouth</t>
  </si>
  <si>
    <t>https://webdocs.aub.ac.uk/Regulatory%20Framework%20and%20Undergraduate%20Assessment%20Regulations.pdf</t>
  </si>
  <si>
    <t xml:space="preserve">11.1Honours Degree classifications
11.1.1 Honours Degrees are awarded using the nationally recognised classification system. The overall mark that is used as the basis to determine classification is calculated asfollows:25% of the Level 5 average mark plus 75% of the Level 6 average mark, with each unit weighted according to its size. No distinction is drawn between core and optional units.
11.1.2 Students who enter directly into Level 6, including students articulating fromFoundation Degrees, shall have their classification determined on the basis of Level 6credit only. The result is placed against the scale of marks and classification below.
11.1.3 The average mark at each level is calculated to two decimal places. A final mark will be rounded up if it is within 0.5% (inclusive) of the higher classification band.
</t>
  </si>
  <si>
    <t>Aston</t>
  </si>
  <si>
    <t>Aston University</t>
  </si>
  <si>
    <t xml:space="preserve">9. CLASSIFICATION OF AWARDS
9.1 Degree classifications shall be determined by an overall weighted average mark. 
9.2  Three Stage programmes and four-Stage programmes with placement
9.2.1 If there is no placement the average mark for Stage 2 modules will contribute 25% to the overall final  mark. The remaining 75% will consist of the average Stage F mark.
9.2.2 If there is a placement the average mark for Stage 2 modules will contribute 15% to the overall final mark,  and the placement stage mark will contribute 10%. The remaining 75% will consist of the average Stage F  mark.
</t>
  </si>
  <si>
    <t>Birmingham</t>
  </si>
  <si>
    <t>University of Birmingham</t>
  </si>
  <si>
    <t xml:space="preserve"> Programmes with modules at 
Regulations of the University of Birmingham
Section 72019-20Page 16of 39
Stage  1 -0
levels  C to H. [360 CREDIT PROGRAMMES]
Stage  2 -25%
Stage  3 -75%
Programmes with modules at 
levels C to M.
Stage 1 -0 
Stage 2 -20%
Stage 3 -80%
</t>
  </si>
  <si>
    <t>Brighton</t>
  </si>
  <si>
    <t>University of Brighton</t>
  </si>
  <si>
    <t xml:space="preserve">2.4Honours Degrees (BA(Hons), BSc(Hons), BEng(Hons), LLB (Hons))
The algorithm for an Honours degree will include all marks at both levels 5 and 6, weighted according to their credit rating, with the ratio of level 5 to level 6 being 25:75.
</t>
  </si>
  <si>
    <t>Courtauld Institute of Art</t>
  </si>
  <si>
    <t xml:space="preserve">4. Classification Rules for Finalists for the BA in the History of Art
4.1 Final Honours Classification will be on the basis of a weighted average. Normally only second year and third year marks will be taken into account when calculating the average mark.
4.2 One average will be calculated for the second year and one for the third year, and the two figures will be weighted 3:1 in favour of the Final Year by using the formula 1x+3ydivided by 4 = C, where x = second year average, y = third year average and Cis the mark for classification purposes.
4.3 First-Class Honours will be awarded normally on the basis of an average performance of 70% or more, Upper Second on the basis of 60% or more, Lower Second on 50% or more, Third on 40% or more, and an Ordinary (non Honours) degree on the basis of an average of 35% or more. 4.4 The rounding up of decimals of 0.5 and above is automatic and should take place at the moment when the individual student’s degree is ratified.
</t>
  </si>
  <si>
    <t>CSSD</t>
  </si>
  <si>
    <t>Royal Central School of Speech and Drama</t>
  </si>
  <si>
    <t>Leeds Trinity University</t>
  </si>
  <si>
    <t xml:space="preserve">8.2.3Classification Calculation
There are three methods for the calculation of honours classification, two of which determine a mean mark average and one which looks at mark profile. They all use numeric marks only and these are termed ‘classifiable credit’. The award classification is determined by the best outcome from the three methods described below:1In accordance with the marginal condonement procedure, the Board of Examiners may exercise its discretion and allow progression if a student’s performance is marginally below the progression requirement (regulation 5.1.3). 
28a)  The arithmetic mean of all module marks for the 240 credits studied at Level 5 and Level 6 is calculated and converted to a Honours classification based on the table below. 
b)   The arithmetic mean of all module marks awarded for the 240 credits at Level 5 and Level 6, weighted in the ratio 2:1 in favour of Level 6 credits, is calculated and converted to a Honours classification based on the table   below. [THIS WILL ALWAYS BE MORE GENEROUS EXCEPT FOR STUDENTS WITH A POOR LAST YEAR (IT'LL MAKE IT WORSE)
c)   A mark profile is obtained for the 240 credits studied at Level 5 and Level 6, weighted in the ratio 2:1 in favour of   Level 6 credits. Each mark is converted to a classification based on the table below and the number of credits in   each classification determined. The number of credits at each classification will then be summed, starting with   those at the highest classification and working downwards through the classifications, until at least 50% of the   credits (180) have been accounted for. The Honours classification determined by profile will then be the    classification at which this process of summation ends
</t>
  </si>
  <si>
    <t>Liverpool John Moores</t>
  </si>
  <si>
    <t>Liverpool John Moores University</t>
  </si>
  <si>
    <t xml:space="preserve">UG.C8Classification and Grading of Awards UG.C8.1
The class of degree will be based upon the Award Mark.  T
he weightings are by credit value and by level.  
The marks achieved at Level 5 will be weighted at 25%, and those at Level 6 by 75%.  
The Award Mark is calculated as follows:  
(i)marks from 120 credits achieved at Level 6  and from 120 credits, or 240 credits where students have completed a sandwich placement or additional study abroad year, achieved at Level 5;
(ii)where marks from fewer than 120 Level 5 credits are available the average from those mark bearing credits at Level 5 that are available becomes the Level Mark unless marks from fewer than 60 Level 5 credits are available, in which case the Award Mark is based upon Level 6 alone (see UG.A2.4);
(iii)only modules carrying a numerical mark (i.e. not a pass/fail grade) may contribute towards the classification.  All Level 6 credits contributing to an award must be mark bearing.
</t>
  </si>
  <si>
    <t>Manchester Met</t>
  </si>
  <si>
    <t>Manchester Metropolitan University</t>
  </si>
  <si>
    <t xml:space="preserve">C4.Method One: Weighted Average Classification - The classification shall be determined according to an overall weighted average mark (M), which shall be calculated for each student based on a contribution of 25% of the weighted average from units at level 5 (at level 6 for an Integrated Master’s degree) combined with 75% of the weighted average from units at level 6 (at level 7 for an Integrated Master’s degree). The weighted averages shall be formed by combining the marks for each unit at that level according to the credit values of the units. The resulting overall weighted average, expressed as a mark out of 100, shall then be applied to the following classification table to determine the class of degree to be awarded
</t>
  </si>
  <si>
    <t>NUA</t>
  </si>
  <si>
    <t>Norwich University of the Arts</t>
  </si>
  <si>
    <t>9.2 If we are using your unit marks from both Years 2 and 3, the final award mark is made up of 25% of your Year 2 marks, and 75% of your Year 3 marks. For all students in this category except those on the BA (Hons) in Architecture, this means that your final award mark is calculated as detailed below.</t>
  </si>
  <si>
    <t>UCA</t>
  </si>
  <si>
    <t>University for the Creative Arts</t>
  </si>
  <si>
    <t>6.3.2 The indicator score will be derived from all unit marks at Level 5, which will be weighted 25%, and all unit marks at Level 6, which will be weighted 75%. Marks will be also weighted according to unit credit volume, such that</t>
  </si>
  <si>
    <t>UCB</t>
  </si>
  <si>
    <t>University College Birmingham</t>
  </si>
  <si>
    <t>https://www.ucb.ac.uk/downloads/policies-and-procedures/learning-teaching-and-assessment/academic-regulations/academic-regulations-2-assessment-progression-and-award.pdf</t>
  </si>
  <si>
    <t xml:space="preserve">d) Contribution of Marks to Degree Classification
i) Marks from the stages of a programme shall contribute to the classification of the degree in the following proportions:
Programmes with modules at levels 4 to 6.
Stage 1 -0
Stage 2 -25%
Stage 3 -75%
</t>
  </si>
  <si>
    <t>Derby</t>
  </si>
  <si>
    <t>University of Derby</t>
  </si>
  <si>
    <t>A weighted average of all marked credits at levels 5 and 6 is calculated, truncating to one decimal point: Level 5 average x 0.2 + Level 6 average x 0.8</t>
  </si>
  <si>
    <t>London South Bank</t>
  </si>
  <si>
    <t>London South Bank University</t>
  </si>
  <si>
    <t>https://www.lsbu.ac.uk/__data/assets/pdf_file/0010/84349/assessment-and-examination-procedure.pdf</t>
  </si>
  <si>
    <t>.46 The average mark for the highest 80 Level 6 credits will contribute 80% (the major part) to the final weighted average mark on which the classification will be based. The highest marks for 120 credits from Level 5 and the remaining Level 6 credits will form a weighted average mark which will be rounded to a whole number. This weighted average mark will contribute 20% (the minor part) to the final weighted average mark on which the classification will be based.
 [THIS IS TRICKY - SINCE 40 CREDITS OF LEVEL 6 'DROP-DOWN' AND GET WEIGHTED BY A SMALLER VALUE - ALL CREDITS COUNT]</t>
  </si>
  <si>
    <t>Queen Margaret</t>
  </si>
  <si>
    <t>Queen Margaret University, Edinburgh</t>
  </si>
  <si>
    <t xml:space="preserve">Honours Degree 480 credit pointsof which a minimum of 220are at SCQF level 9 and 10, including at least 100 at level 10
8.2 The classification of the award of the Degree with Honours will be based on the marks obtained in SCQF level 9 (20%) and SCQF level 10(80%). Weighted aggregate scores will be rounded to one decimal place. The classification will be based upon the average mark obtained by combining the weighted results of all modules studied at SCQF levels 9and 10. Any modules undertaken below SCQF level 9and any modules taken whilst on an exchange arrangement will not be counted towards the Honours calculation
</t>
  </si>
  <si>
    <t>Trinity Laban Conservatoire</t>
  </si>
  <si>
    <t>Trinity Laban Conservatoire of Music and Dance</t>
  </si>
  <si>
    <t>https://www.trinitylaban.ac.uk/</t>
  </si>
  <si>
    <t>5/6 20/80</t>
  </si>
  <si>
    <t>Years 2 and 3 [DISCOUNTING]</t>
  </si>
  <si>
    <t>Stirling ^^</t>
  </si>
  <si>
    <t>University of Stirling</t>
  </si>
  <si>
    <t xml:space="preserve">135. For the award of an Honours degree, a minimum of 480 credits must be achieved, with a minimum of 180 at SCQF levels 9 and 10, including a minimum of 90 credits at SQCF level 10 as defined by the Degree Programme Table 
For degrees conferred from June 2018 onwards:
136. The modules specified in year 3 and 4 of the Degree Programme Table (or equivalence for part-time) count towards the classification. The dissertation (or equivalent) must be included in the classification calculation.
137. The calculation does not differentiate between compulsory and optional modules
138. A predominance rule applies on the basis that, for any classification, the mark profile must have at least 50% of the credits (in multiples of 20 only), at or above the classification mark threshold. For classifying 220 credits, the predominance threshold is 120 credits; for 180 credits, predominance is 100 credits; for 120 credits predominance is 60 credits
139. The lowest marked 20 credits will be discounted including modules with a failing mark. Classification must be based on the remaining credits with attributed marks
140. Where the total number of credits with attributed marks is equal to or less than 120, e.g. a student has pass/fail modules, entry credit, placements and study abroad credit where no marks are assigned, the classification must be based on all available credits with associated marks, i.e. no modules may be discounted
141. If a student has more than 240 credits in years 3 and 4 only the best 220 credits will be considered in the calculation.
</t>
  </si>
  <si>
    <t>Westminster ^^</t>
  </si>
  <si>
    <t>University of Westminster</t>
  </si>
  <si>
    <t>https://www.westminster.ac.uk/sites/default/public-files/general-documents/handbook-of-academic-regulations.pdf</t>
  </si>
  <si>
    <t xml:space="preserve">Honours Degree Scheme1516
7.3.1 Where a student has met all of the requirements for award, an indicator score will be calculated. This indicator score will be used to determine the student’s degree classification.
7.3.2 The indicator score will be derived from the best 220 credits at Levels 5 and 6, i.e. the module with the lowest mark, whether it be at Level 5 or Level 6, will be disregarded. Where that module has a credit volume of more than 20 credits, for the purpose of calculating the award the mark will be used but with a reduced credit volume. E.g. where that module is a 40-creditmodule, the mark shall be used but the module shall be regarded as a 20 credit module.
7.3.3 Where there are two or more modules with a joint lowest mark, and those modules are at both Levels 5 and 6, the Level 6 module shall be disregarded.
7.3.4 Of the best 220 credits, module marks at Level 5 will be weighted one third, and module marks at Level 6 will be weighted two thirds. Marks will be also weighted according to module credit volume, such that:
</t>
  </si>
  <si>
    <t>Oxford Brookes ^^</t>
  </si>
  <si>
    <t>Oxford Brookes University</t>
  </si>
  <si>
    <t xml:space="preserve">AUGUST 2017
The class of Honours degree shall be decided in accordance with Schedule 1 below on the average of the marks obtained in the best fourteen level 5 or above acceptable module credits, which carry the highest marks. 
The marks for the best six acceptable level 6 honours module credits will always be included in the average. All students must have four graded acceptable level 6 honours module credits at the University for the purposes of classification.
2020
The class of Honours degree shall be decided in accordance with Schedule 1 below on the average of the marks obtained in the best fourteen level 5 or above acceptable module credits, which carry the highest marks. 
The marks for the best six acceptable level 6 honours module credits will always be included in the average. All students must have four graded acceptable level 6 honours module credits at the University for the purposes of classification.
SEEMS TO BE AN 8 X15 CREDIT STRUCTURE
Therefore if
Level 2 + 3 = 16 modules, the 30 credits are being discounted – which could be at level 3 or level 2 or both
</t>
  </si>
  <si>
    <t>De Montfort</t>
  </si>
  <si>
    <t>De Montfort University</t>
  </si>
  <si>
    <t>https://www.dmu.ac.uk/documents/about-dmu-documents/quality-management-and-policy/academic-quality/taught-programmes-academic-regulations/academic-regulations-2019-20.pdf</t>
  </si>
  <si>
    <t xml:space="preserve">1.Best 105 credits of the 120 studied at level 5, single-weighted, [25%  and the:
2.Best105 credits of the 120 studied at level 6, triple-weighted [75%]
</t>
  </si>
  <si>
    <t>Greenwich</t>
  </si>
  <si>
    <t>University of Greenwich</t>
  </si>
  <si>
    <t xml:space="preserve"> b)The class of Honours will normally be calculated on the grades achieved in stages 2 and 3 of a programme in the ratio of 20:80. Aggregation of grades to obtain the class of Honours will be based on averaging the full spread of grades in Stage 2 to obtain 20% of the final grade and the average of the best 90 credits of overall module grades in Stage 3 (Level 6 or above) to obtain 80% of the final grade [20:80].</t>
  </si>
  <si>
    <t>Kingston</t>
  </si>
  <si>
    <t>Kingston University</t>
  </si>
  <si>
    <t>https://d68b3152cf5d08c2f050-97c828cc9502c69ac5af7576c62d48d6.ssl.cf3.rackcdn.com/documents/aboutkingstonuniversity/howtheuniversityworks/policiesandregulations/documents/AR02-UG-Regulations-2019-2020-V1.pdf</t>
  </si>
  <si>
    <t xml:space="preserve">Bachelors Degree with Honours(excludingthe Bachelor of Science in Midwifery (85 week programme), theBachelor of Artsin Social Work, the Bachelor of Science in Nursingand the Bachelor of Osteopathy)
As a terminal award190.A student who is registered for the award of a Bachelors Degree with Honours as the terminal qualification will be considered for the award on completion of:
•at least 360 credits at level 4 or above
•of which at least 240 credits must be at level 5 or above
•and of which at least 120 credits must be at level 6 or above
Calculation of the honours classification191.The calculation of the honours classification will be determined using the following algorithm:
•the average percentage mark based on the best 105 credits from120 credits at level 5 multiplied by a weighting of 0.2
•plus the average percentage mark based on the best 105 credits from120 credits at level 6 multiplied by a weighting of 0.8
192.Credit achieved at Level 4 does not count towards degree classification
</t>
  </si>
  <si>
    <t>Canterbury Christ Church</t>
  </si>
  <si>
    <t>Canterbury Christ Church University</t>
  </si>
  <si>
    <t>14 | Page(iv) pass Level 4. In calculating the Honours Degree classification, except where the student enters Level 6 with advanced standing:(i)the classification will be derived from the average mark of the best 100 credits at Level 5 and the average mark of the best 100 credits at Level 6;(ii)the average mark at Level 6 will be combined with the average mark at Level 5 in the ratio 60:40, and rounded to the nearest integer. [A CHANGE FROM 2017?]</t>
  </si>
  <si>
    <t>Edge Hill</t>
  </si>
  <si>
    <t>Edge Hill University</t>
  </si>
  <si>
    <t xml:space="preserve">All modules must achieve a pass standard in order for a student to successfully complete. Level Four marks (first year) will not be counted in the final classification but the modules must be successfully completed in order for the award to be made. 
Classifications will be determined by whichever of the following two mechanisms affords the student the best outcome:1)Average Percentage Mark (APM): The APM includes a lowest mark discard so that the lowest 20 credits of module marks are not included(although they must be passed) and the final year is weighted more heavily so that level 5 contributes to 40% of the APM and Level Six is worth 60% of the APM.2)
The Profile: where having 50% of module marks across level 5&amp;6 in a classification band entitles the candidate to that class provided the overall APM is not more than 2% away from the threshold for the class awarded.
</t>
  </si>
  <si>
    <t>Portsmouth</t>
  </si>
  <si>
    <t>University of Portsmouth</t>
  </si>
  <si>
    <t>http://www2.port.ac.uk/accesstoinformation/policies/academicregistry/filetodownload,30375,en.pdf</t>
  </si>
  <si>
    <t xml:space="preserve">Rule 1 requires an average mark to be arrived at for the student’s performance at level 5 (not necessarily the same as stage 2) and for that average to be weighted by .4. Before this is calculated, the worst 20 credits at level 5 are identified and not included –in this case, unit U22226.The Board then determines an average mark for the student’s performance at level 6 and weights that average by .6. Before this is calculated, the worst 20 credits at level 6 are identified and not included –in this case, units U33331.The Board then adds together the products of the two weightings and rounds the result to an integer. 
L5 X 0.4 20 CREDITS DISCOUNTED0 L6 X 0.6 20 CREDITS DISCOUNTED
Rule 2 is the average mark of the student’s performance at level 6, rounded to an integer. . Before this is calculated, the worst 20 credits at level 6are identified and not included –in this case, unitU33331.
Rule 3 looks at the preponderance of credits in the various classification categories. The student has to achieve more than50% of the relevant credits (i.e. the credits used in the calculations) -after discounting the worst 20 credits at Level 5 and level 6-from level 5 and 6 combined in a classification band or higher to be awarded that classification. To carry out the calculation, the Board must start with the highest classification and keep applying the rule until the student meets the condition. Student A has 200 relevant credits so must achieve more than 100 in the classification category or better for the Board to recommend that particular classification. Therefore, to apply rule 3 the Board starts with the first class category. Student A has only 80 credits combined between level 5 and 6at first class honours. Therefore, the student does not meet the condition. At upper second-class honours, or better, the student has a total of 80 credits at level 5and 120 credits at level 6,giving a combined total of 200 credits. This meets the condition. By rule 3, therefore the Board should award the student a 2:1
</t>
  </si>
  <si>
    <t>West London</t>
  </si>
  <si>
    <t>University of West London</t>
  </si>
  <si>
    <t xml:space="preserve">With the exception of the Level 5 and Level 6 students recorded at 8.21 below, the final degree mark for all students is calculated by applying the following method: the weighted marks using best 200 credits at Level 5 and Level 6,(100 credits at Level 5 and 100 credits at Level 6), with Level 5 weighted as 0.35 and Level 6 weighted as 0.65 (Method of Calculation: Mark (%) x credit value of module x module level weighting).
Variations to Calculation of Final Grade 
8.21.1.For students progressing to either Level 5 or Level 6 in 2019-20, and those progressing to Level 6 in 2020-21 only, the final degree mark will be calculated by applying one of the three methods below, whichever produces the highest score: 
a) the weighted marks using the best 100 credits at Level 5 and the best 100 credits at Level 6,with Level 5  weighted as 0.5 and Level 6 weighted as 0.5 (Method of Calculation: Mark (%) x credit value of module x  module level weighting);
OR 
b) the marks using the best 100 credits at Level 6 alone (Method of Calculation: Mark (%) x credit value of  module). 
OR 
c) the weighted marks using best 200 credits at Level 5 and Level 6,(100 credits at Level 5 and 100 credits at  Level 6), with Level 5 weighted as 0.35 and Level 6 weighted as 0.65 (Method of Calculation: Mark (%) x  credit value of module x module level weighting)
</t>
  </si>
  <si>
    <t>Chester</t>
  </si>
  <si>
    <t>University of Chester</t>
  </si>
  <si>
    <t>Huddersfield</t>
  </si>
  <si>
    <t>University of Huddersfield</t>
  </si>
  <si>
    <t>https://www.hud.ac.uk/policies/registry/awards-taught/section-c/</t>
  </si>
  <si>
    <t>Trinity Saint David</t>
  </si>
  <si>
    <t>University of Wales, Trinity Saint David</t>
  </si>
  <si>
    <t>https://www.uwtsd.ac.uk/media/uwtsd-website/content-assets/documents/academic-office/regulations-student-guides/How-Degree-Classifications-are-Calculated---Initial-Degrees.pdf</t>
  </si>
  <si>
    <t>The average for Level 5 is based on the average of the best marks in 100 of the 120 credits studied at Level 5 and the average for Level 6 is based on the average of the best marks in 100 of the 120 credits studied at Level 6. The final average mark for award classification is calculated by adding the average for Level 6 (counted twice) and the average for Level 5 and dividing by three.</t>
  </si>
  <si>
    <t>Bath Spa</t>
  </si>
  <si>
    <t>Bath Spa University</t>
  </si>
  <si>
    <t>https://www.bathspa.ac.uk/media/bathspaacuk/about-us/policies/academic-and-student/UG-Academic-Framework-21-May-2019-V1.3.pdf</t>
  </si>
  <si>
    <t>Cardiff Met</t>
  </si>
  <si>
    <t>Cardiff Metropolitan University</t>
  </si>
  <si>
    <t xml:space="preserve">http://www.cardiffmet.ac.uk/registry/academichandbook/Documents/AH1_10_01.pdf
6.4For the award of an Honours degree, students will normally* successfully achieve 360 credit points in total (120 at each of Levels 4, 5 and 6). The award classification for Honours degrees is derived from the marks gained at Levels 5 and 6, or Level 6 only if agreed at validation.
http://www.cardiffmet.ac.uk/registry/academichandbook/Documents/AH1_04_01.pdf
Classification of awards for Honours degrees shall be determined either from the average of the aggregated marks achieved in the best 100 credits at Level 6 (weighted at 0.7) and the next best 100 credits at Level 5 or above (weighted at 0.3), or from the average of the marks achieved in the best 100 credits at Level 6 only (whichever is stipulated in the validated programme document and in the programme regulations).The validated method for calculation of degree class must apply to ALL students on the programme.
</t>
  </si>
  <si>
    <t>Cumbria</t>
  </si>
  <si>
    <t>University of Cumbria</t>
  </si>
  <si>
    <t>Solent</t>
  </si>
  <si>
    <t>Solent University</t>
  </si>
  <si>
    <t>Teesside</t>
  </si>
  <si>
    <t>Teesside University</t>
  </si>
  <si>
    <t xml:space="preserve">Classification of Honours Degrees
The Honours Degree classification is calculated on the basis of the most favourable outcome to the student using the following methods:
a) The Assessment Board will determine the Honours classification using the weighted mean average, calculated on a pro rata basis, of the marks for the best 100 credits obtained at Level 5 and the marks for the best 100 credits obtained at Level 6. The mean average of these is obtained and then weighted so that the Level 5 marks are worth 30% and the Level 6 marks are worth 70%. A final mean average is obtained on the basis of this weighting and this determines the base degree classification in accordance with the boundaries defined in 7.2.1.
</t>
  </si>
  <si>
    <t>Hartpury</t>
  </si>
  <si>
    <t>Hartpury University</t>
  </si>
  <si>
    <t>https://www.hartpury.ac.uk/media/4920/hartpury-university-academic-regulations.pdf</t>
  </si>
  <si>
    <t xml:space="preserve">“The degree classification for the 360 credit honours degree is based upon the best marks achieved for 100 credits at level 3 and the next best marks achieved for 100 credits at level 2 or above (including any remaining level 3 marks). Marks achieved for the best 100 level 3 credits are weighted three times the value of the marks for the 100 credits at level 2 (or any remaining at level 3). Where the credit size of a module which is counted towards the 100 credit set of best marks would give a credit total greater than 100, only the relevant portion of credit needed to complete the 100 credit total is counted. The unused credit may be counted towards the second 100 credit set of best marks.”
</t>
  </si>
  <si>
    <t>Leeds Beckett</t>
  </si>
  <si>
    <t>Leeds Beckett University</t>
  </si>
  <si>
    <t>https://www.leedsbeckett.ac.uk/-/media/files/academic-regs-new/2017/student/progressionawardfactsheetstudents.pdf?la=en</t>
  </si>
  <si>
    <t>BESST 10 LEVEL 5 x .25 BEST 100 LEVEL 6 x 0.75</t>
  </si>
  <si>
    <t>Salford</t>
  </si>
  <si>
    <t>University of Salford</t>
  </si>
  <si>
    <t>https://www.salford.ac.uk/__data/assets/pdf_file/0007/1912507/AcademicRegulationsTaught201920.pdf</t>
  </si>
  <si>
    <t>Standard Programme Mark: (25% x (weighted mean markfor best 100 credits at level 5))+ (75% x (weighted mean mark for best 100 credits at level 6))</t>
  </si>
  <si>
    <t>Sheffield Hallam</t>
  </si>
  <si>
    <t>Sheffield Hallam University</t>
  </si>
  <si>
    <t>https://students.shu.ac.uk/regulations/assessment_awards/Standard%20Assessment%20Regulations%202019-20.pdf</t>
  </si>
  <si>
    <t xml:space="preserve">If you have at least 100 and no more than 140 credits marked by percentage at level 5 and at least 100 and no more than 140 credits marked by percentage at level 6 or higher, your final average mark will be calculated from
•   the overall weighted average of the 100 highest marked level 5 credits, weighted at 25%
•   the overall weighted average of the 100 highest marked level 6 credits or higher, weighted at 75%Where the best 100 credits marked by percentage cannot be derived from whole module marks without using more than 100 highest marked credits, the mark for the lowest marked module included in the calculation will be weighted at the appropriate credit value (see Example 1 in Annex 2).
</t>
  </si>
  <si>
    <t>UWE</t>
  </si>
  <si>
    <t>University of the West of England</t>
  </si>
  <si>
    <t>Bradford</t>
  </si>
  <si>
    <t>University of Bradford</t>
  </si>
  <si>
    <t>Central Lancashire</t>
  </si>
  <si>
    <t>University of Central Lancashire</t>
  </si>
  <si>
    <t>https://www.uclan.ac.uk/study_here/assets/academic_regulations_2021.pdf</t>
  </si>
  <si>
    <t xml:space="preserve">Honours DegreeThe classification of awards for Honours Degreeswillbe based on the highest classification outcome from one of thefollowing:
1 The APM based on a weighted average of thebest100 credits at Level 6 and the best100 credits at Level 5 using the ratio 2:8 for Level 5:Level 
6.2 The APM based on the best 100 credits at Level
6.3 The classification is determined by reference to the over all profile and performance with the minimum requirement that:
I a minimum of 60 credits at Level 6 are in the classification Band.and 
ii the highest APM is no lower than 2 percentage points below that required for the classification 
</t>
  </si>
  <si>
    <t>Sunderland</t>
  </si>
  <si>
    <t>University of Sunderland</t>
  </si>
  <si>
    <t>L2 100 X 0.2 + L3 100 X 0.8</t>
  </si>
  <si>
    <t>Anglia Ruskin</t>
  </si>
  <si>
    <t>Anglia Ruskin University</t>
  </si>
  <si>
    <t xml:space="preserve">Degree (BA (Hons), BSc (Hons), BEng (Hons), BOptom (Hons), LLB (Hons))
8.59 If a student is eligible for an Honours Degree, the award classification is determined as follows:
(a) Algorithm A1–Arithmetic Mean
The credit weighted arithmetic mean of the best module results totalling 180 credits at levels 5 and 6 of which a minimum of 105 credits are at level 6.[NB: Any  AP(E)L  credit  at  level  6  (or  higher)  is  included  in  the  180  credits  and  is  not substituted  by  an  increased  volume  of  level  5  credit –see  Regulation 8.32 above];
If  the  outcome  of  Algorithm  A1 places  a  student  into  one  of the  following three borderline categories(48.0 –49.49%,  58.0 –59.49%  and  68.0 –69.49%), the student’s performance is then considered under Algorithm B1(as detailed in Regulation 8.59(b) below).
For  students  who  do  not  fall  into  one  of  the  borderline  categories specified above,   the outcome   of   Algorithm   A1is   used   to   determine   the   award classification as specified in Regulation 8.60 below.
(b)Algorithm B1–Preponderance and Exit Velocity
Algorithm  B1allows  a student to  be  considered  for  elevation  to  the  next higher classification if the student’s performance under Algorithm A1 satisfies the conditions stipulated in Regulation 8.59(a)bullet2;
A   student   is elevated to the next higher   classification   if   the   student’s academic profile contains module results for at least120 credits from levels5 and 6 for which  marks have  been  awarded in  that higher  classification (or above) and where a minimum of 90 of these credits are at level 6
</t>
  </si>
  <si>
    <t>Edinburgh Napier</t>
  </si>
  <si>
    <t>Edinburgh Napier University</t>
  </si>
  <si>
    <t>https://www.ed.ac.uk/files/atoms/files/taughtassessmentregulations.pdf</t>
  </si>
  <si>
    <t>The calculation of the classification of honours will be based on 180 credits, to include a minimum of 100 credits at SCQF level 10, of which a minimum of 40 credits are derived from a dissertation or final-year project, plus all remaining SCQF level 10 credit and the best SCQF level 9 credit achieved to gain a total of 180 cre</t>
  </si>
  <si>
    <t>Glasgow Caledonian</t>
  </si>
  <si>
    <t>Glasgow Caledonian University</t>
  </si>
  <si>
    <t>Bachelors Degree SCQF 9 360 90 creditpoints at SCQF9, and 30 creditpoints from either SCQF9 or SCQF 8 SO THIS LOOKS LIKE L3 X 90 CREDITS + 30 CREDITS L3 OR 2
19.7.1The credit-weighted average mark to be used is that from a set of SCQF 10 and SCQF 9  modules  that  comprise  180  credits  in  total,  and  produce  the  highestcredit-weighted  average  mark.  The  set  of  modules (termed  the  Calculation  Set)  must include  at  least  90  credits  at  SCQF  10,  and  include  a  Dissertation  if  it  is  part  of  the programme.19.7.2In  the  special  case  of  the  direct  entry  to  level  4 ,the  classification  is  based  on  the overall credit-weighted average  mark  of 120 credits, including at  least  90 credits  at SCQF 10 and the remainder at SCQF 9 or above.19.7.3The  classification  scheme  based  on  the  overall  credit-weighted  average  of  the Calculation Set is as follows</t>
  </si>
  <si>
    <t>South Wales</t>
  </si>
  <si>
    <t>University of South Wales</t>
  </si>
  <si>
    <t xml:space="preserve">Classification of honours degrees 
34. To classify your award we will calculate an average mark using the following two methods: 
a. Method 1: Calculate the average of the marks from the 180 credits obtained from the best 60 credits at level 5 and the 120 credits at level 6. 
b. Method 2: Calculate the average of the marks from the 120 level 6 credits. 
</t>
  </si>
  <si>
    <t>Wolverhampton ^^</t>
  </si>
  <si>
    <t>University of Wolverhampton</t>
  </si>
  <si>
    <t xml:space="preserve">WOLVERHAMPTON
The classification of Honours Degrees will be calculated using a percentage grade average (and, where 
applicable) borderline profiling method, shown in the table below;
XXThe percentage grade average will be based on the grades from the student’s best credits taken at the University of Wolverhampton on their current course as detailed in table below.  Students will be considered to be in the border zone if their percentage grade average falls within the levels shown in table in Section 5.2.1 or they meet the criteria listed below
#
Number of UofW credits taken on current course - 240-360
Percentage average based on  - best results from 180 level 5 and level 6 credits; at least 100 credits must be at level 6 and include an independent study/project module.
Borderline zone criteria - 100 credits or more of the grades achieved in the 180 selected credits are in a higher class than indicated by the grade average.
</t>
  </si>
  <si>
    <t>Hertfordshire</t>
  </si>
  <si>
    <t>University of Hertfordshire</t>
  </si>
  <si>
    <t>https://www.herts.ac.uk/__data/assets/pdf_file/0008/69749/Handbook-2017-2018-2.pdf</t>
  </si>
  <si>
    <t xml:space="preserve"> D6.1.1 For students being considered for a final award with Honours classification, the Programme Board of Examiners will determine for each candidate: 
i the average numeric grade of the best 90 credits at Level 6 or higher; and 
ii the average numeric grade of the best remaining 90 credits at Level 5 or higher; and 
iii a combined average numeric grade, weighted 75% (i) and 25% (ii); and iv the candidate’s Honours classification will be considered on the basis of this combined average numeric grade.
</t>
  </si>
  <si>
    <t>London Met</t>
  </si>
  <si>
    <t>London Metropolitan University</t>
  </si>
  <si>
    <t>https://student.londonmet.ac.uk/media/london-metropolitan-university/london-met-documents/professional-service-departments/academic-registry/academic-regulations/2018x2f19/Academic-Regulations-2018-19.pdf</t>
  </si>
  <si>
    <t xml:space="preserve"> https://student.londonmet.ac.uk/media/london-metropolitan-university/london-met-documents/professional-service-departments/academic-registry/academic-regulations/split-up-regs/2.2.pdf</t>
  </si>
  <si>
    <t>East London</t>
  </si>
  <si>
    <t>University of East London</t>
  </si>
  <si>
    <t xml:space="preserve">https://www.uel.ac.uk/about/about-uel/governance/policies-regulations-corporate-documents/student-policies/manual-of-general-regulations
look at Part 3b - Academic Regulations (Level 5 and 6)
</t>
  </si>
  <si>
    <t>6.12.1 Where a student is eligible for an Honours degree by passing a valid combination of modules to comprise an award and has gained a minimum of 240 UEL credits at level 5 or level 6 on the current enrolment for the programme, including a minimum of 120 UEL credits at level 6, the award classification is determined by calculating: 
The credit-weighted arithmetic mean of the best 90 credits at level 6 x 0.8 +
The credit-weighted arithmetic mean of the next best 90 credits at levels 5 and/or 6 x 0.2</t>
  </si>
  <si>
    <t>Roehampton ^^</t>
  </si>
  <si>
    <t>Roehampton University</t>
  </si>
  <si>
    <t xml:space="preserve">ROEHAMPTON
The Bachelor of Arts in Primary Education is classified on the basis of the average of the percentage marks in the best 160 credits at Levels 5–6 which the student has achieved at the University (i.e. not through credit transfer), irrespective of subject and with no weighting between levels, rounded to the nearest whole number. Each mark is weighted in the calculation according to the credit value of the module to which it applies. Where astudent has achievedfewerthan160creditsattheUniversity,the award will be classified on the basis of the average of the percentage marks in all of the credits a tLevels 5–6 which the student has achieved tthe University,irrespective of subject and with no weighting between levels, rounded to the nearest whole number.
</t>
  </si>
  <si>
    <t>Plymouth Marjon</t>
  </si>
  <si>
    <t>Plymouth Marjon University</t>
  </si>
  <si>
    <t xml:space="preserve">Plymouth Marjon University
All module marks at Levels 5 and 6 for non-top-up degrees will be presentedto the Progression and Award Board as a whole number with any decimalbelow x.50 being rounded down and any decimal of x.50 or above being rounded up. For top-up degrees, all module marks at Level 6 will be presentedin the same way.
The overall weighted average will be presented at the Progression and Award Board as a whole number with any decimal below 0.5 being rounded down and any decimal of 0.5 or above being rounded up. The classification will then be determined by the following formula:
• The best marks achieved in 80 credits pursued at Level 6 will be given a weighting of 3 (i.e. they will count three times). 
• The marks achieved in the remaining credits pursued at Level 6 and the best marks achieved in 40 credits pursued at Level 5 will be given a weighting of 2 (i.e. they will count twice).
• The marks achieved in the remaining credits pursued at Level 5 will be given a weighting of 1 (i.e. they will count once)
L3 80 CREDITS X 3
L3 40 CREDITS  X 2
L5 40 CREDITS X 1
</t>
  </si>
  <si>
    <t>Swansea</t>
  </si>
  <si>
    <t>Swansea University</t>
  </si>
  <si>
    <t>Three-Year Initial Degrees
    Band 3: Best marks achieved in 80 credits pursued at Level 6, given a weighting of 3
    Band 2: Level 6 marks from the remaining 40 credits pursued and the best marks achieved in 40 credits pursued at Level 5, given a weighting of 2
    Band 1: Marks achieved in remaining Level 5 credits pursued, with a weighting of 1
A formula is then applied to calculate the degree classification average.</t>
  </si>
  <si>
    <t>Ravensbourne</t>
  </si>
  <si>
    <t>Ravensbourne University London</t>
  </si>
  <si>
    <t xml:space="preserve"> In the case of a Bachelor’s degree with honours, Ravensbourne will assess all credit at stages 2 and 3 (Levels 5 and 6), taking the best 30 credits from stage 2 and the best 90 credits from stage 3. Weighted averages for classification will be presented as whole numbers.</t>
  </si>
  <si>
    <t>-</t>
  </si>
  <si>
    <t>Year 3 only EITHER / OR [NO DICOUNTING]</t>
  </si>
  <si>
    <t>Worcester*</t>
  </si>
  <si>
    <t>University of Worcester</t>
  </si>
  <si>
    <t>https://www2.worc.ac.uk/registryservices/documents/TaughtCoursesRegulatoryFramework.pdf</t>
  </si>
  <si>
    <t xml:space="preserve">Classification of Undergraduate Degree with Honours (15/30 credit modules)
17.6 Method One: 
Classification determined on the profile of the best grades from 60 credits attained at Level 5 and the best grades from 120 credits at Level 6. Level 5 and Level 6 grades count equally in the profile. 
a)Candidates will be awarded a first class degree, irrespective of their other module results, where they have attained 90 credits at grade A- or higher and 30 credits at grade B- or higher.
b)Candidates will be awarded an upper second class degree, irrespective of their other module results, where they have attained 90 credits at grade B- or higher and 30 credits at grade C- or higher.
c)Candidates will be awarded a lower second class degree, irrespective of their other module results, where they have attained 90 credits at grade C- or higher.
d)Candidates will be awarded a third class degree, irrespective of their other module results, where they have not fulfilled rules (a), (b) or (c), but are eligible for the award of an honours degree.
17.7 Method Two: 
Classification determined on the profile of the best grades from 120 credits attained at Level 6 only.
a)Candidates will be awarded a first class degree, irrespective of their other module results, where they have attained 60 credits at grade A- or higher and 30 credits at grade B- or higher.
b)Candidates will be awarded an upper second class degree, irrespective of their other module results, where they have attained 60 credits at grade B- or higher and 30 credits at grade C- or higher.
c)Candidates will be awarded a lower second class degree, where they have attained 60 credits at grade C- grades or higher.
d)Candidates will be awarded a third class degree, irrespective of their other module results, where they have not fulfilled rules (a), (b) or (c), but are eligible for the award of an honours degree.
</t>
  </si>
  <si>
    <t>Bedfordshire*</t>
  </si>
  <si>
    <t>University of Bedfordshire</t>
  </si>
  <si>
    <t>https://www.beds.ac.uk/media/268680/approved-section-5a-undergraduate-assessment-regulations-uobar121.pdf</t>
  </si>
  <si>
    <t>AVERAGE</t>
  </si>
  <si>
    <t>University of Bolton</t>
  </si>
  <si>
    <t xml:space="preserve">BOLTON
12.5Honours degree students shall be awarded the honours classification resulting from the application of the following algorithms:
Rule ACM20 (NB: this does not apply to Top-Up qualifications)A weighted average of the marks from modules worth a total of 200 credits at FHEQ Levels 5 and 6 combined, including the marks from modules worth no more than 80 credits at least at FHEQ Level 5 (weighted 30 percent) and marks from modules worth at least 120 credits at FHEQ Level 6 (weighted 70 percent), which represent the best marks achieved by a student at those Levels. Where the average falls unequivocally into one of the following bands: 48.00 -49.49, 58.00 -59.49, 68.00 -69.49; and a student has achieved marks clearly in an honours classification category higher than their average for modules worth at least 120 credits, drawn from FHEQ Levels 5 and/or 6, then a student shall be awarded an honours degree in the classification category one higher than that indicated by their average.
OR
Rule ACM6A simple average of the equally weighted marks from modules worth 120 credits at FHEQ Level 6 which represent the best marks achieved by a student at that Level. Where the average falls into one of the following bands: 48.00 -49.49, 58.00 -59.49, 68.00 -69.49; and a student has achieved marks clearly in an honours classification category higher than their average for modules worth at least 80 credits, then a student shall be awarded an honours degree in the classification category one higher than that indicated by their average. 
</t>
  </si>
  <si>
    <t>Gloucestershire</t>
  </si>
  <si>
    <t>University of Gloucestershire</t>
  </si>
  <si>
    <t>Highlands &amp; Islands</t>
  </si>
  <si>
    <t>University of the Highlands &amp; Islands</t>
  </si>
  <si>
    <t>https://www.uhi.ac.uk/en/about-uhi/governance/policies-and-regulations/regulations/regulations-2018-19/</t>
  </si>
  <si>
    <t xml:space="preserve"> HIGHLANDS AND ISLANDS
17b.125Students will be awarded a first class honours degree if they achieve an average (mean) mark of 70% or more across all SCQF Level 10 credits. 
17b.126Students will be awarded an upper second class honours degree if they achieve an average (mean) markbetween 60-69% across all SCQF Level 10 credits. 
17b.127Students will be awarded a lower second class honours degree if they achieve an average (mean) mark between 50-59% across all SCQF Level 10 credits. 
17b.128Students will be awarded a third class honours degree if they achieve an average (mean) mark between 40-49% across all SCQF Level 10 credits. 
17b.129Modules will be weighted according to their credit value, eg 40-credit modules will be counted as two instances of the same mark. If the student has completed more than 120 credits at Level 10, all module marks will be included in the mean mark calculation. If a student has completed only 100 credits at Level 10, the mean mark of allLevel 9 modules will be calculated and included as the sixth mark. Any failed modules will be excluded from the mean mark calculation.
</t>
  </si>
  <si>
    <t>University of Lincoln</t>
  </si>
  <si>
    <t xml:space="preserve">B.2 Calculation of Bachelor Degree Honours
Where a student has been awarded a total of 360 credit points with 240 credits at Levels 2 and 3 and at least 120 at Level 3, then the Board of Examiners shall award the student an honours degree based on the most favourable outcome from the following three algorithms described: 
•Calculating the weighted mean of all Level 3 module marks
•Calculating the weighted median of all Level 3 module marks
•Calculating the weighted mean of all Level 2 and Level 3 module marks
</t>
  </si>
  <si>
    <t>Nottingham Trent</t>
  </si>
  <si>
    <t>Nottingham Trent University</t>
  </si>
  <si>
    <t xml:space="preserve">Award outcomes
18.Classification for honours
18.1Consideration of a student’s final award takes  place after the student has completed all modules comprising the final stage of the course.
18.2The classification for an honours bachelor degree is based either entirely on the level 6 result, or may include a 20% contribution from the level 5 result as agreed at approval. [WHICH CAN'T BE FOUND ... IN MOD SPECS?[
.......
18.3For integrated master’s degrees, the classification is based upon a combination of level 6 and level 7 credits according to the weighting agreed at course approval.  The final classification calculation must include performance at 120 credits of level 7 study.
18.4The following classifications are adopted for each course leading to a bachelor’s degree with honours or an integrated master’s award
</t>
  </si>
  <si>
    <t>University of the Arts London</t>
  </si>
  <si>
    <t xml:space="preserve">2.6.1. An Honours Degree may be awarded on successful completion of 360 credits (200 at Level 5 or above, and a minimum of 100 at Level 6 or above).2.6.2. The Exam Board will award an Honours Classification, selecting the strongest profile from either: 
a) The letter grades achieved for all final stage units, weighted according to the credit-rating of each unit. Or;
b) The letter grades achieved for all final stage units and the letter grades for up to the best 100 credits of the student’s second year, weighted according to the credit-rating of each unit. The calculation is a 70/30 ratio, with the final year grades carrying the most weight.
</t>
  </si>
  <si>
    <t>UCEM</t>
  </si>
  <si>
    <t>University College of Estate Management</t>
  </si>
  <si>
    <t>https://www.ucem.ac.uk/regulations-2019-20/</t>
  </si>
  <si>
    <t>L3 - 120</t>
  </si>
  <si>
    <t>West of Scotland</t>
  </si>
  <si>
    <t>University of the West of Scotland</t>
  </si>
  <si>
    <t xml:space="preserve">The minimum criterion for the award of an Honours degree is a grade C or above in each of the modules studied at SCQF level 10 or in the final year stage of the programme (none less than SCQF level 9) according to the programme specification. Where modules lower than SCQF level 10 are taken as part of the Honours year stage, then grades for such modules will count towards the Honours classification as if these modules were at SCQF level 10
Modules used for the calculation of Honours must be SCQF level 9 or above, with a minimum of 90 credits at SCQF level 10.3.24Where a student has undertaken a resit in one or more modules at SCQF level 10 or in the final year stage of the programme, then the resit mark will stand on the student’s transcript but a mark of 40% and grade C for those modules will be used in the calculation of the classification of the Honours award.
</t>
  </si>
  <si>
    <t>Wrexham Glyndŵr</t>
  </si>
  <si>
    <t>Wrexham Glyndŵr University</t>
  </si>
  <si>
    <t>ALL MODULES STATE: Academic Regulations for Bachelor Degrees, Diplomas and Certificates apply to this programme. In considering borderline cases the Assessment Board shall raise the classification to the next level if all of the following criteria are met:At least 50% of the credits at Level 6 fall within the higher classification;All level 6 modules must have been passed at the first attempt;The mark achieved for the 40-credit dissertation/placement module is within the higher classification.# HOWEVER CAN'T FIND THE REGULATIONS FOR BACHELOR DEGREES - SO ASSUME ITS ALL BASED ON LEVEL 6 where the cascade is for boardeline marks</t>
  </si>
  <si>
    <t>Year 3 only - [DISCOUNTING]</t>
  </si>
  <si>
    <t>St Mary’s University, Twickenham</t>
  </si>
  <si>
    <t>https://www.stmarys.ac.uk/about/corporate-information/docs/2018-sep-academic-regulations-18-19.pdf</t>
  </si>
  <si>
    <t xml:space="preserve">ST MARY TWICKERS
26.3The final degree mark is calculated by applying either of the two methods below, whichever produces a higher score:
a)The overall mark for an honours Bachelor's Degree shall be determined by combining the average marks at FHEQ Level 5 and FHEQ Level 6 subject to the formula below:
# For programmes running 20/40 credit modules, the average mark at each level shall be a percentage mark composed of the average of a candidate's best 200 credits including compensation credits at FHEQ Level 5 &amp; 6.
# The module with the lowest mark at FHEQ Level 5 and 6 will be disregarded up to a maximum of 20 credits in each Level. 
The Dissertation or Independent Study Module will not be disregarded from the degree classification if it is the lowest mark in Level 6.
OR
b) the marks using best 100 credits at Level 6 alone (Method of Calculation: Mark (%) x credit value of module). The Dissertation or Independent Study Module will not be disregarded from the degree classification if it is the lowest mark in Level6.
</t>
  </si>
  <si>
    <t>Coventry</t>
  </si>
  <si>
    <t>Coventry University</t>
  </si>
  <si>
    <t>https://livecoventryac.sharepoint.com/:w:/s/externalstudentdocuments/EXtaKuoMKGhChpgaxIM3w4IBg-KmcKqa_E2ZvnKhMPd3eQ?rtime=bvRt9FqX10g</t>
  </si>
  <si>
    <t>Strathclyde</t>
  </si>
  <si>
    <t>University of Strathclyde</t>
  </si>
  <si>
    <t>https://www.strath.ac.uk/sees/educationenhancement/qualityassurance/universityregulations/</t>
  </si>
  <si>
    <t>Northampton</t>
  </si>
  <si>
    <t>University of Northampton</t>
  </si>
  <si>
    <t>WEB SITE ONLY ACCESSED USING 'TUNDRA'</t>
  </si>
  <si>
    <t>Aberdeen</t>
  </si>
  <si>
    <t>University of Aberdeen</t>
  </si>
  <si>
    <t>https://www.abdn.ac.uk/staffnet/teaching/undergraduate-degree-classification-9156.php</t>
  </si>
  <si>
    <t>From 2019 using a GPA, which is then classified. Depending on the programme years can be weighted differently. The classification is based on the two years (level 3 and 4 [5]) of the honours programme (i.e. earlier years to not 'count')</t>
  </si>
  <si>
    <t>Glasgow</t>
  </si>
  <si>
    <t>University of Glasgow</t>
  </si>
  <si>
    <t>It looks like individual courses might have their own weightings</t>
  </si>
  <si>
    <t>Heriot-Watt</t>
  </si>
  <si>
    <t>Heriot-Watt University</t>
  </si>
  <si>
    <t>https://www.hw.ac.uk/documents/regulations.pdf</t>
  </si>
  <si>
    <t xml:space="preserve">7.1.3The structure for each Programme of Study shall specify the award criteria, along with the method of calculating the degree classification, to be applied in the case of Students who are admitted, under the terms of this Regulation, to the final stage of a programme
A minimum of180 credits at SCQF Levels 9 and 10, with at least 90 at SCQF Level 10
</t>
  </si>
  <si>
    <t>Wales</t>
  </si>
  <si>
    <t>University of Wales</t>
  </si>
  <si>
    <t>https://www.wales.ac.uk/Resources/Documents/Partners/Validated/Regulations-Procedures-Protocols/Taught-Degrees-Handbook.PDF</t>
  </si>
  <si>
    <t>Imperial College London</t>
  </si>
  <si>
    <t>https://www.imperial.ac.uk/media/imperial-college/administration-and-support-services/registry/academic-governance/public/regulations/2018-19/exam/Regulations-for-the-Examination-of-BSc,-MSci,-MEng,-MBBS-Degrees_1819.pdf</t>
  </si>
  <si>
    <t>Lancaster University</t>
  </si>
  <si>
    <t>University of Leeds</t>
  </si>
  <si>
    <t>https://students.leeds.ac.uk/info/103552/taught_student_policies_and_procedures</t>
  </si>
  <si>
    <t>University of Manchester</t>
  </si>
  <si>
    <t xml:space="preserve">MANCHESTER
58.Bachelors degree classification will be decided using weighted total points for three year degrees. Schools can choose to implement either of the following options:  Y1 to Y3 (L4 to 6 FHEQ) using weights of 0.0 (L4), 0.33 (L5), and 0.67 (L6) or Y1 to Y3 (L4 to 6 FHEQ) using weights of 0.1 (L4), 0.3 (L5), and 0.6 (L6)
</t>
  </si>
  <si>
    <t>Newcastle University</t>
  </si>
  <si>
    <t>University of Nottingham</t>
  </si>
  <si>
    <t>https://www.nottingham.ac.uk/academicservices/qualitymanual/assessmentandawards/degree-classificationwef201516-sep2015ug-2016pgt.aspx</t>
  </si>
  <si>
    <t>Degree Classification: (with effect from 2015/16) for students who entered Qualifying year or Part I from September 2015 and for students who entered Taught Postgraduate awards from 2016/17
Honours and Integrated Masters Degrees
These regulations take effect from 2015/16 for students entering Qualifying year or Part I from September 2015. Students entering Qualifying year or Part I before September 2015 are subject to the former regulations.
Standardised weightings between Parts apply unless an approved PSRB or other exemption has been given and this is stated in the relevant programme specification(s).
Arithmetic Mean Model
1. Unit marks (footnote 1) are numeric. 
2. Module mark is calculated from unit marks and rounded to a numeric integer
3. Module marks are weighted accordingly to the number of credits attached to the module e.g. a 20 credit module is Weighted double compared to a 10 credit module.
4. The relative weightings of Part I/II/III marks are given in programme specifications.
5. A weighted numerical average is calculated using the weightings indicated in 3 and 4 above.
6. The weighted numerical average is rounded (see "Rounding" in Marking and Grading).
7. Weighted numerical average is translated into degree classification according to Table 1.
UNABLE TO ACCESS PROGRAMME SPECS'</t>
  </si>
  <si>
    <t>University of Warwick</t>
  </si>
  <si>
    <t>https://search.warwick.ac.uk/website?q=DEGREE+CLASSIFICATION&amp;source=https%3A%2F%2Fwarwick.ac.uk%2Fservices%2Fgov%2Fcalendar%2Fsection2%2Fregulations%2F&amp;w_c=30</t>
  </si>
  <si>
    <t>The example used in proposal relates to the statistics BA, History takes th strraight average L2+L3, others weight 40/60 respectively</t>
  </si>
  <si>
    <t>London Business School</t>
  </si>
  <si>
    <t>LOOKS PROGRAMME SPECIFIC - WITH EITHER CLUSTERING OR CASCADE [I.E NINETH HIGHEST MARK]</t>
  </si>
  <si>
    <t>Loughborough University</t>
  </si>
  <si>
    <t xml:space="preserve">SEEMS TO BE PROGRAMME SPECIFIC - NO DISCOUNTING COMMEDABLE WEB SITE
6. Progression shall be in the following sequence:
6.1 Part F to Part A
6.2 Part A to Part B (SECOND YEAR?)
6.3 Part B to Part C (LAST YEAR?)
6.4 Part C to Part D
Programme Mark and Degree Classification
20. For each student, a Programme Mark shall be determined according to the following scheme:
20.1 The Module Marks (as defined in paragraph 16 hereof) awarded for every module (capped in the case of second attempt module assessments in accordance with the provisions of paragraph 48 hereof) in each Part of the programme will be weighted in proportion to the relevant modular weight and used to calculate an average percentage mark for each Part.
20.2 The average percentage marks for Parts B, C, D and I will be combined in the ratio indicated in Programme Specifications to determine the Programme Mark.
20.3 Part and Programme Marks shall be shown and recorded as rounded to one decimal place.
REGS ON MOD SPECS
20. Where the Degree of Bachelor is to be awarded, a Programme Mark will be determined for the purposes of classifying the degree, as specified in the Programme Regulations, either by combining the average percentage marks for Parts B and C in a specified ratio, or by taking the average percentage mark for Part C alone. The Programme Board will determine the Honours classification of each BA or BSc Degree awarded according to the following scheme:
E.G.
History/ Electronic and Electrical Engineering/ Business Psychology/ Engineering Management/ Architecture/ Drama
Candidates' final degree classification will be determined on the basis of their performance in degree level Module Assessments in Parts B and C. The percentage mark for each Part will be combined in the ratio Part B 40%, Part C 60% to determine the final programme percentage mark.
Bioengineering/Economics
Candidate’s final degree classification will be determined on the basis of their performance in degree level Module Assessments in Parts B and C, in accordance with the scheme set out in Regulation XX.  The average percentages for each Part will be combined in the ratio Part B 30: Part C 70 to determine the final percentage for the award of BEng.
Fine Art/ Graphic Communication and Illustration
Candidates' final degree classification will be determined on the basis of their performance in degree level Module Assessments in Parts B and C. The percentage mark for each Part will be combined in the ratio Part B 20 and Part C 80 to determine the final percentage mark.
</t>
  </si>
  <si>
    <t>City, University of London</t>
  </si>
  <si>
    <t>Programme specific - 10/30/60 or 0/40/60 seem common</t>
  </si>
  <si>
    <t>University of London</t>
  </si>
  <si>
    <t>https://london.ac.uk/current-students/programme-documents/regulations#undergraduate-11756</t>
  </si>
  <si>
    <t>Guildhall School of Music and Drama</t>
  </si>
  <si>
    <t>https://www.gsmd.ac.uk/fileadmin/user_upload/files/Policies_and_Reports/Academic_regulatory_framework_201819_final_SECTION_3.pdf</t>
  </si>
  <si>
    <t>University of Bristol</t>
  </si>
  <si>
    <t>The weightings depend on the course - generally 25/75 or 40/60 First year(undergraduate)marks will not contribute to the calculation of the final programme markand/or degree classification.Additionally, units in any year of study that are pass/fail only will be disregarded in this calculation. //</t>
  </si>
  <si>
    <t>Oxford</t>
  </si>
  <si>
    <t>University of Oxford</t>
  </si>
  <si>
    <t>The classification is based on year 3 exams alone</t>
  </si>
  <si>
    <t>Cambridge</t>
  </si>
  <si>
    <t>University of Cambridge</t>
  </si>
  <si>
    <t xml:space="preserve">https://thetab.com/uk/cambridge/2017/01/20/university-proposes-new-degree-classification-system-86982
https://www.quora.com/What-is-Cambridge-Universitys-grading-system
</t>
  </si>
  <si>
    <t>CAMBRIDGE
2. On completing the requisite number of terms, a student shall be qualified to proceed to the degree of Bachelor of Arts by Honours if not earlier than the last but one of the terms that the student needs for that degree he or she has obtained honours as follows: 
1.  (a)in Part II or Part III of any Tripos; 
2. (b)in Part IIa or Part IIb of any Tripos;
WIKIP
A tripos is divided into two parts: Part I, which is broadly based, and Part II, which allows specialization within the student's chosen field. Since a bachelor's degree usually takes three years to complete, either Part I or Part II is two years, and the other one year. The details of this can vary from subject to subject. There is also an optional Part III offered in some subjects, such as the Mathematical Tripos; these are not required to complete a bachelor's degree. Some Part III courses allow the student to graduate with both a master's degree and a bachelor's degree: for example, scientific Part III courses allow the student to graduate with an M.Sci. degree in addition to the B.A. degree which all Cambridge graduates receive. The Engineering Tripos is divided into four Parts, each corresponding to one academic year, and leads to the simultaneous awarding of the B.A. and M.Eng. degrees.
? BASICALLY PART IA = Y1, PART IB=YEAR 2, PART II=Y3 (WHERE PART III, IS MASTERS[PROJECT] ELEMENT)</t>
  </si>
  <si>
    <t>Alg</t>
  </si>
  <si>
    <t>WEIGHTING</t>
  </si>
  <si>
    <t>No.</t>
  </si>
  <si>
    <t>University</t>
  </si>
  <si>
    <t>Institute of Education, University of London</t>
  </si>
  <si>
    <t>Royal Academy of Music</t>
  </si>
  <si>
    <t>London School of Hygiene and Tropical Medicine</t>
  </si>
  <si>
    <t>St George’s, University of London</t>
  </si>
  <si>
    <t>Royal Veterinary College</t>
  </si>
  <si>
    <t>Institute of Cancer Research</t>
  </si>
  <si>
    <t>Liverpool School of Tropical Medicine</t>
  </si>
  <si>
    <t>Royal College of Art</t>
  </si>
  <si>
    <t>Total</t>
  </si>
  <si>
    <t>Cranfield University</t>
  </si>
  <si>
    <t>Archbishop of Canterbury, The</t>
  </si>
  <si>
    <t>Ashridge Business School</t>
  </si>
  <si>
    <t>NCG</t>
  </si>
  <si>
    <t>Royal College of Nursing</t>
  </si>
  <si>
    <t>Richmond, The American International University in London</t>
  </si>
  <si>
    <t>Rose Bruford College of Theatre and Performance</t>
  </si>
  <si>
    <t>Royal College of Music</t>
  </si>
  <si>
    <t>Royal Conservatoire of Scotland</t>
  </si>
  <si>
    <t>Royal Northern College of Music</t>
  </si>
  <si>
    <t>University College of Osteopathy</t>
  </si>
  <si>
    <t>University of Law</t>
  </si>
  <si>
    <t>https://help.open.ac.uk/documents/policies/academic-regulations/files/115/academic-regulations-taught-courses-2019.pdf</t>
  </si>
  <si>
    <t>Y</t>
  </si>
  <si>
    <t>University of Winchester, The</t>
  </si>
  <si>
    <t>University of the West of England, Bristol</t>
  </si>
  <si>
    <t>University of Wales Trinity Saint David (Prifysgol Cymru Y Drindod Dewi Sant</t>
  </si>
  <si>
    <t>University of Wales (Prifysgol Cymru)</t>
  </si>
  <si>
    <t>University of Ulster</t>
  </si>
  <si>
    <t>University of the Arts, London</t>
  </si>
  <si>
    <t>U</t>
  </si>
  <si>
    <t>T</t>
  </si>
  <si>
    <t>Swansea University (Prifysgol Abertawe)</t>
  </si>
  <si>
    <t>University of St Mark and St John, Plymouth</t>
  </si>
  <si>
    <t>University of South Wales (Prifysgol De Cymru)</t>
  </si>
  <si>
    <t>School of Oriental and African Studies (SOAS), University of London</t>
  </si>
  <si>
    <t>S</t>
  </si>
  <si>
    <t>University of Roehampton</t>
  </si>
  <si>
    <t>Robert Gordon University, Aberdeen</t>
  </si>
  <si>
    <t>Regent’s University London</t>
  </si>
  <si>
    <t>R</t>
  </si>
  <si>
    <t>Queen’s University Belfast</t>
  </si>
  <si>
    <t>Queen Mary, University of London</t>
  </si>
  <si>
    <t>Q</t>
  </si>
  <si>
    <t>Plymouth University</t>
  </si>
  <si>
    <t>Open University, The</t>
  </si>
  <si>
    <t>O</t>
  </si>
  <si>
    <t>University of Northampton, The</t>
  </si>
  <si>
    <t>N</t>
  </si>
  <si>
    <t>M</t>
  </si>
  <si>
    <t>London School of Economics and Political Science, The (LSE)</t>
  </si>
  <si>
    <t>Leeds Beckett University (formerly Leeds Metropolitan University)</t>
  </si>
  <si>
    <t>L</t>
  </si>
  <si>
    <t>King’s College London</t>
  </si>
  <si>
    <t>K</t>
  </si>
  <si>
    <t>Imperial College of Science, Technology and Medicine (also known as Imperial College London)</t>
  </si>
  <si>
    <t>I</t>
  </si>
  <si>
    <t>University of the Highlands and Islands</t>
  </si>
  <si>
    <t>Heythrop College (degrees awarded by University of London)</t>
  </si>
  <si>
    <t>H</t>
  </si>
  <si>
    <t>Glyndŵr University (Prifysgol Glyndŵr)</t>
  </si>
  <si>
    <t>G</t>
  </si>
  <si>
    <t>F</t>
  </si>
  <si>
    <t>University of Edinburgh, The</t>
  </si>
  <si>
    <t>E</t>
  </si>
  <si>
    <t>D</t>
  </si>
  <si>
    <t>City University London</t>
  </si>
  <si>
    <t>Cardiff University (Prifysgol Caerdydd)</t>
  </si>
  <si>
    <t>Cardiff Metropolitan University (Prifysgol Metropolitan Caerdydd)</t>
  </si>
  <si>
    <t>C</t>
  </si>
  <si>
    <t>Brunel University London</t>
  </si>
  <si>
    <t>Bishop Grossteste University</t>
  </si>
  <si>
    <t>Bangor University (Prifysgol Bangor)</t>
  </si>
  <si>
    <t>B</t>
  </si>
  <si>
    <t>Arden University (formerly known as Resource Development International)</t>
  </si>
  <si>
    <t>Aberystwyth University (Prifysgol Aberystwyth)</t>
  </si>
  <si>
    <t>University of Law, The</t>
  </si>
  <si>
    <t>Royal Veterinary College, The</t>
  </si>
  <si>
    <t>Royal Central School of Speech and Drama (University of London)</t>
  </si>
  <si>
    <t>Institute of Cancer Research, The (degrees awarded by University of London)</t>
  </si>
  <si>
    <t>Courtauld Institute of Art, The (degrees awarded by University of London)</t>
  </si>
  <si>
    <t>A</t>
  </si>
  <si>
    <t>Warwickshire College</t>
  </si>
  <si>
    <t>Newcastle College</t>
  </si>
  <si>
    <t>New College Durham</t>
  </si>
  <si>
    <t>Leeds City College</t>
  </si>
  <si>
    <t>Hull College</t>
  </si>
  <si>
    <t>Grimsby Institute of Higher Education</t>
  </si>
  <si>
    <t>Cornwall College Group</t>
  </si>
  <si>
    <t>Blackpool and the Fylde College</t>
  </si>
  <si>
    <t>Foundation degrees</t>
  </si>
  <si>
    <t>Heythrop College</t>
  </si>
  <si>
    <t>Abertay University (formerly University of Abertay Dundee)</t>
  </si>
  <si>
    <t>QU Belfast, Queen Mary</t>
  </si>
  <si>
    <t>Abertay, Arden, Bishop Grosseteste, Buckingham, Edinburgh, OU, St Andrews, York St John</t>
  </si>
  <si>
    <t>Bangor, Birkbeck, Brunel, Buckinghamshire-New, Exeter, Falmouth, Keele, Leeds Arts, Leicester, Liverpool Hope*, Reading, Royal Holloway, Sheffield, Southampton</t>
  </si>
  <si>
    <t>AECC, Bournemouth, Cardiff*, Harper Adams, Hull, LIBF, Liverpool, RAU, Regent's London, Staffordshire, Ulster</t>
  </si>
  <si>
    <t>Arts University Bournemouth, Aston, Birmingham, Brighton, Courtauld Institute of Art, CSSD, Leeds Trinity*, Liverpool John Moores, Manchester Met, NUA, UCA, UCB</t>
  </si>
  <si>
    <t>Derby, London South Bank, Queen Margaret, Trinity Laban Conservatoire</t>
  </si>
  <si>
    <t>Greenwich, Kingston</t>
  </si>
  <si>
    <t>Canterbury Christ Church, Edge Hill, Portsmouth</t>
  </si>
  <si>
    <t>Chester, Huddersfield, Trinity Saint David</t>
  </si>
  <si>
    <t>Bath Spa, Cardiff Met, Cumbria, Solent, Teesside</t>
  </si>
  <si>
    <t>Hartpury, Leeds Beckett, Salford, Sheffield Hallam, UWE</t>
  </si>
  <si>
    <t>Bradford, Central Lancashire, Sunderland</t>
  </si>
  <si>
    <t>Anglia Ruskin, Edinburgh Napier, Glasgow Caledonian, South Wales, Wolverhampton ^^</t>
  </si>
  <si>
    <t>Hertfordshire, London Met</t>
  </si>
  <si>
    <t>Bedfordshire*, Bolton*, Gloucestershire, Highlands &amp; Islands, Lincoln*, Nottingham Trent, UAL*, UCEM, West of Scotland, Worcester*, Wrexham Glyndŵr</t>
  </si>
  <si>
    <t>St Mary’s, Twickenham*, Coventry</t>
  </si>
  <si>
    <t>https://www.dur.ac.uk/physics/students/faqs/?faqno=1046</t>
  </si>
  <si>
    <t>https://portal.uea.ac.uk/documents/6207125/7465906/Section+3+Regulations+for+Bachelors+and+Integrated+Masters+Awards+for+Students+Starting+in+2019+2020/d4cfbb5d-8719-22ac-5bc3-41b0f7cb819a</t>
  </si>
  <si>
    <t>https://www.plymouth.ac.uk/uploads/production/document/path/12/12692/MASTER_COPY_-_Academic_Regulations_2018-19.pdf</t>
  </si>
  <si>
    <t>https://info.lse.ac.uk/Staff/Divisions/Academic-Registrars-Division/Teaching-Quality-Assurance-and-Review-Office/Assets/Documents/Calendar/SchoolRegs17-18.pdf</t>
  </si>
  <si>
    <t>https://www.gold.ac.uk/media/docs/gam/Progression-and-Award-for-Students-on-Taught-Programmes.pdf</t>
  </si>
  <si>
    <t>https://myuni.swansea.ac.uk/academic-life/academic-regulations/undergraduate-award-regulations/ug-assessment-regs/ug-assessment-regs-section-3/</t>
  </si>
  <si>
    <t>https://www.winchester.ac.uk/about-us/leadership-and-governance/policies-and-procedures/?download=true&amp;id=103</t>
  </si>
  <si>
    <t>https://www.mdx.ac.uk/__data/assets/pdf_file/0023/532409/Undergraduate-Taught-Programmes.pdf</t>
  </si>
  <si>
    <t>https://www.abertay.ac.uk/media/2646/2017_18_regulations_for_undergraduate_programmes_final.pdf</t>
  </si>
  <si>
    <t>https://www.bishopg.ac.uk/wp-content/uploads/2016/11/Regulations-for-the-Award-of-Honours-Degrees-and-Foundation-Degrees-for-Students-from-September-2017.docx</t>
  </si>
  <si>
    <t>https://www.northumbria.ac.uk/-/media/corporate-website/new-sitecore-gallery/services/academic-registry/documents/qte/assessment/guidance-for-students/academic-regulations-for-taught-awards-2017-18.pdf</t>
  </si>
  <si>
    <t>https://www.uos.ac.uk/</t>
  </si>
  <si>
    <t>http://www.sussex.ac.uk/adqe/standards/examsandassessment/ugfaqs</t>
  </si>
  <si>
    <t>https://www.york.ac.uk/media/studenthome/studying/examsandassessments/UG-Student-guide-to-progression-and-award.pdf</t>
  </si>
  <si>
    <t>https://surrey-content.surrey.ac.uk/sites/default/files/2019-11/A1%20Regulations%20for%20taught%20programmes%202019-20.pdf</t>
  </si>
  <si>
    <t>https://www.bangor.ac.uk/regulations/regulations/documents/BUReg01-2019v2.1.pdf</t>
  </si>
  <si>
    <t>https://www.brunel.ac.uk/about/documents/pdf/Senate-Regulation-2-2019-onwards-2019-10-31.pdf</t>
  </si>
  <si>
    <t>https://bucks.ac.uk/__data/assets/pdf_file/0026/9539/Academic-Assessment-Regulations.pdf</t>
  </si>
  <si>
    <t>http://as.exeter.ac.uk/academic-policy-standards/tqa-manual/aph/classification/#graduate</t>
  </si>
  <si>
    <t>https://www.falmouth.ac.uk/file/39323/download https://www.falmouth.ac.uk/student-regulations</t>
  </si>
  <si>
    <t>https://www.keele.ac.uk/regulations/regulationd2/</t>
  </si>
  <si>
    <t/>
  </si>
  <si>
    <t>https://d3mcbia3evjswv.cloudfront.net/files/Ac%20Regs%202019-20%20FINAL_0.pdf</t>
  </si>
  <si>
    <t>https://www.dundee.ac.uk/media/dundeewebsite/qualityframework/documents/Assessment-Policy-2015-revised-December-2019.pdf</t>
  </si>
  <si>
    <t>http://www.bbk.ac.uk/registry/policies/documents/CAS-regs-19-20.pdf</t>
  </si>
  <si>
    <t>https://www2.le.ac.uk/offices/sas2/regulations/documents/sr5-ug-programmes-april-2019</t>
  </si>
  <si>
    <t>https://intranet.royalholloway.ac.uk/students/assets/docs/pdf/academic-regulations/academic-regulations-2019-20/12.-undergraduate-regulations-2019-20fv.pdf</t>
  </si>
  <si>
    <t>https://www.southampton.ac.uk/~assets/doc/calendar/Progression,%20Determination%20and%20Classification%20of%20Results%20-%20Undergraduate%20and%20Integrated%20Masters%20Programmes.pdf</t>
  </si>
  <si>
    <t>https://www.bath.ac.uk/publications/nfaar-hy-and-appendices/attachments/nfaar-hy.pdf</t>
  </si>
  <si>
    <t>https://intranetsp.bournemouth.ac.uk/pandptest/6a-standard-assessment-regulations-undergraduate.pdf</t>
  </si>
  <si>
    <t>https://www.cardiff.ac.uk/__data/assets/pdf_file/0009/432666/Academic-Regulations-Handbook-2019-20-English.pdf</t>
  </si>
  <si>
    <t>https://www.harper-adams.ac.uk/documents/assessment-regulations.pdf</t>
  </si>
  <si>
    <t>https://universityofhull.app.box.com/s/3zm523nn3xinzvc3d35mov7z0xblw4y1</t>
  </si>
  <si>
    <t>https://www.liverpool.ac.uk/media/livacuk/tqsd/code-of-practice-on-assessment/appendix_I_2010-11.pdf</t>
  </si>
  <si>
    <t>https://www.staffs.ac.uk/legal/policies/academic-regulations.jsp#reg_7</t>
  </si>
  <si>
    <t>https://www.ulster.ac.uk/__data/assets/pdf_file/0006/376854/Regulations-1920.pdf</t>
  </si>
  <si>
    <t>https://www2.aston.ac.uk/clipp/documents/Quality/Regulations/au-rsc-18-1855-a-general-regulations-for-undergraduate-programmes-2019-20.pdf</t>
  </si>
  <si>
    <t>https://intranet.birmingham.ac.uk/as/registry/legislation/documents/public/Cohort-Legislation-2019-20/Regulations-19-20-Section-7.pdf</t>
  </si>
  <si>
    <t>https://staff.brighton.ac.uk/reg/acs/docs/GEAR%202019-20_sectionD.pdf</t>
  </si>
  <si>
    <t>https://assets.courtauld.ac.uk/wp-content/uploads/2018/08/31133850/General-Regulations-First-Degrees-Nov-2016.pdf</t>
  </si>
  <si>
    <t>https://www.cssd.ac.uk/sites/default/files/2016-2017_Handbook_of_Academic_Regulations_2.pdf</t>
  </si>
  <si>
    <t>http://www.leedstrinity.ac.uk/Key%20Documents/Taught_Course_Academic_Regulations_Level%206_19_20.pdf</t>
  </si>
  <si>
    <t>https://www.ljmu.ac.uk/~/media/sample-sharepoint-libraries/policy-documents/246.pdf?la=en</t>
  </si>
  <si>
    <t>https://www.mmu.ac.uk/academic/casqe/regulations/assessment/docs/ug-regs.pdf</t>
  </si>
  <si>
    <t>https://www.nua.ac.uk/wp-content/uploads/2019/09/NUA-2019-20-Student-Regulations-and-Procedures-web-version.pdf</t>
  </si>
  <si>
    <t>http://webdocs.ucreative.ac.uk/CCF_Regulations-1471444200265.pdf</t>
  </si>
  <si>
    <t>https://www.derby.ac.uk/media/derbyacuk/assets/departments/the-registry/academic-regulations-2018-aug/Part-F-Asst-regs-for-UG-progs-2019-20-web-v1-updated-following-LSR-amendment-v1-LSR-amends.pdf</t>
  </si>
  <si>
    <t>https://www.qmu.ac.uk/media/7515/assessment-regulations-and-policy-gqe-version-updated-sept-2019.pdf</t>
  </si>
  <si>
    <t>https://www.stir.ac.uk/about/professional-services/student-academic-and-corporate-services/academic-registry/regulations/undergraduate/assessment-and-award-of-credit/#q-5</t>
  </si>
  <si>
    <t>https://www.brookes.ac.uk/regulations/current/specific/b2/b2-7/</t>
  </si>
  <si>
    <t>https://docs.gre.ac.uk/rep/sas/academic-regs https://docs.gre.ac.uk/__data/assets/pdf_file/0012/1677747/Academic-Regulations-Taught-Awards-2019-20v3.pdf</t>
  </si>
  <si>
    <t>https://www.canterbury.ac.uk/quality-and-standards-office/docs/regulations/Regulations-for-Taught-Awards-SEP-19.pdf</t>
  </si>
  <si>
    <t>https://www.edgehill.ac.uk/registry/files/2019/11/AR-Regulations-Student-Summary-19-20-i.pdf</t>
  </si>
  <si>
    <t>https://www.uwl.ac.uk/sites/default/files/academic_regulations2_ay1920.pdf</t>
  </si>
  <si>
    <t>http://www.chester.ac.uk/sites/files/chester/Principles%20and%20Regulations%202014_15%20FINAL.pdf</t>
  </si>
  <si>
    <t>http://www.cardiffmet.ac.uk/registry/academichandbook/Documents/AH1_04_01.pdf</t>
  </si>
  <si>
    <t>https://www.cumbria.ac.uk/media/university-of-cumbria-website/content-assets/public/aqs/documents/academicregulations/Academic-Regulations.pdf</t>
  </si>
  <si>
    <t>https://portal.solent.ac.uk/documents/academic-services/academic-handbook/section-2/2o-assessment-principles-and-regulations.pdf?t=1534839602804</t>
  </si>
  <si>
    <t>https://www.tees.ac.uk/docs/NoBrowse/Assessment_Regulations/2_Assessment_Regulations_for_Undergraduate_Awards_2019.20.pdf</t>
  </si>
  <si>
    <t>https://www2.uwe.ac.uk/services/Marketing/students/Student%20advice/Regulations-documents/2019-20/Academic-Regulations-2019-2020-Volume-1-UG-PG.pdf</t>
  </si>
  <si>
    <t>https://www.bradford.ac.uk/repos/regulations-documents/Regulation-2-Ug-Awards-2019-20.pdf</t>
  </si>
  <si>
    <t>https://my.sunderland.ac.uk/display/AQH/Academic+Regulations?preview=/105484815/122203080/Undergraduate%20Academic%20Regulations%202019-20%20v21.pdf</t>
  </si>
  <si>
    <t>https://web.anglia.ac.uk/anet/academic/public/academic_regs.pdf</t>
  </si>
  <si>
    <t>https://www.gcu.ac.uk/media/gcalwebv2/theuniversity/aqd/University%20Assessment%20Regulations%20UG%2019-20%20FINAL.pdf</t>
  </si>
  <si>
    <t>https://registry.southwales.ac.uk/student-regulations/regulations-taught-courses/</t>
  </si>
  <si>
    <t>https://www.wlv.ac.uk/about-us/governance/legal-information/policies-and-regulations/academic-regulations/</t>
  </si>
  <si>
    <t>https://www.roehampton.ac.uk/globalassets/documents/quality-and-standards/october-2019/taught-degree-regulations-2019-20.pdf</t>
  </si>
  <si>
    <t>https://www.marjon.ac.uk/about-marjon/institutional-documents/student-regulations-framework-2020-21-valid-september-2020/SRF-2020-21-complete-DRAFT.pdf</t>
  </si>
  <si>
    <t>https://www.ravensbourne.ac.uk/media/7990/ravensbourne-assessment-regulations-1819.pdf</t>
  </si>
  <si>
    <t>https://www.bolton.ac.uk/wp-content/uploads/2019/09/Assessment-Regulations-for-Undergraduate-Programmes-2019-2020.pdf</t>
  </si>
  <si>
    <t>https://www.glos.ac.uk/docs/download/Business/academic-regulations-for-taught-provision-2017-18.pdf</t>
  </si>
  <si>
    <t>https://cpb-eu-w2.wpmucdn.com/blogs.lincoln.ac.uk/dist/8/8024/files/2019/10/Undergraduate-Regulations-2019-20.pdf</t>
  </si>
  <si>
    <t>https://www4.ntu.ac.uk/adq/document_uploads/quality_handbook/2019/sections/16a-ug-car-results-and-classifications.pdf</t>
  </si>
  <si>
    <t>https://www.arts.ac.uk/__data/assets/pdf_file/0021/180444/Course-Regulations-2019-20-PDF-180KB.pdf</t>
  </si>
  <si>
    <t>https://www.uws.ac.uk/media/5429/chapter-3-assessment.pdf</t>
  </si>
  <si>
    <t>https://www.glyndwr.ac.uk/progspecs/Progspecs.shtm</t>
  </si>
  <si>
    <t>https://www.strath.ac.uk/media/ps/cs/gmap/academicaffairs/policies/Policy_on_Honours_Classification_and_Other_Award_Rankings.pdf</t>
  </si>
  <si>
    <t>https://www.northampton.ac.uk/more/governance-and-management/university-policies-procedures-and-regulations/</t>
  </si>
  <si>
    <t>https://www.gla.ac.uk/media/Media_124293_smxx.pdf</t>
  </si>
  <si>
    <t>https://www.lancaster.ac.uk/media/lancaster-university/content-assets/documents/student-based-services/asq/marp/UG-Assess-Regs.pdf</t>
  </si>
  <si>
    <t>https://documents.manchester.ac.uk/display.aspx?DocID=13147</t>
  </si>
  <si>
    <t>https://www.ncl.ac.uk/media/wwwnclacuk/universityregulations/files/2019/201920%2003%20V%20Specific%20Progression%20and%20Classification%20Rules%20for%20Different%20Types%20of%20Taught%20Programme2.pdf</t>
  </si>
  <si>
    <t>https://london.ac.uk/sites/default/files/regulations/progregs-emfss-19-20.pdf</t>
  </si>
  <si>
    <t>https://www.lboro.ac.uk/governance/regulations/20/current/</t>
  </si>
  <si>
    <t>https://www.city.ac.uk/study/courses/undergraduate</t>
  </si>
  <si>
    <t>http://www.bristol.ac.uk/media-library/sites/academic-quality/documents/taught-code/annexes/weightings-for-degree-classification.pdf</t>
  </si>
  <si>
    <t>https://www.ox.ac.uk/about/facts-and-figures/undergraduate-degree-classifications?wssl=1</t>
  </si>
  <si>
    <t xml:space="preserve">21.2 Every Board and Joint Board of Examiners for classified degree programmes shall draw up a Scheme for the Award of Honours which shall be approved by the relevant Faculty Education Committee. Classification of degrees will be according to the following range of marks:
First class 70 – 100
Second class (upper division) 60 - 69.9
Second class (lower division) 50 - 59.9
Third class 40 - 49.9
The pass classification will not be available to students registering for BEng and BSc degrees in and after October 2008.
</t>
  </si>
  <si>
    <t xml:space="preserve"> 5.1Each programme will have final award criteria detailed and approved through the programmes approval process. Examining bodies will determine whether a student has successfully met the final award criteria giving full countenance to exceptional circumstances as reported from the Exceptional Circumstances Committee, reassessment and condonation opportunities as detailed below. </t>
  </si>
  <si>
    <t xml:space="preserve"> A number of policies, procedures, codes of practice and rules are specific to taught students. We are currently experiencing technical problems in displaying all our policies. If you cannot find a document, please contact sescomms@leeds.ac.uk</t>
  </si>
  <si>
    <t xml:space="preserve">the module requirements for award, compensation provisions, the method for calculating the degree classification (or other award divisions), and the availability of an exit award (and award requirements) shall be detailed in the programme specification. However, the following minimum pass marks and classification boundaries shall apply: </t>
  </si>
  <si>
    <t xml:space="preserve">F2.3The calculation for Honours classification for a three or four-year Bachelor programme is normally determined as follows:
An Extended Independent Study module shall contribute:20%
An average of the best 60 credits at level 6 shall contribute:40%
An average of the best remaining 120 credits at levels 5/6 shall contribute:40%
F2.4The calculation for Honours classification for a three or four year programme without an Extended Independent Study module is normally determined as follows:
An average of the best 90 credits at level 6 shall contribute:60%
An average of the best remaining 120 credits at levels 5/6 shall contribute:40%
F2.5The calculation for Honours classification for an Integrated Masters programme is normally determined as follows:
An average of the best 90 credits at level 7 shall contribute: 60%
An average of the best remaining 120 credits at levels 6/7 shall contribute:40%
F2.6The calculation for Honours classification for a one year top-up programme is normally determined as follows:
An average of the results of the 120 credits taken at levels 5/6. A minimum of 90 credits, including the Extended Independent Study module, where taken, shall be taken at level 6
</t>
  </si>
  <si>
    <t>How does it work?
You may already be aware that a student’s final degree classification or grade is calculated based on their marks from all years of study except for their first stage (normally equating to the first year of study for full time students). Classifications for honours degrees are based on final marks as follows:
Classification  Final weighted mark (rounded)
First Class  1st  70% and above
Upper Second  2:1  60% - 69%
Lower second  2:2  50% - 59%
Third  3rd  40% - 49%
The main feature of the revised system will be the application to programmes of study of a standard weighting with respect to the overall marks achieved for different stages, as below:
[a] weightings of Stage 2: 40%, Stage 3: 60% for three year UG degree programmes; or
[b] weightings of Stage 2: 20%, Stage 3: 30%, Stage 4: 50% for 4 year integrated Master’s degree programmes).</t>
  </si>
  <si>
    <t xml:space="preserve">Royal Central School of Speech and Drama 
Determination of Honoursclassification:28.12The classification of Honours degree to be awarded shall be based on the overall degree mark.  The overall degree mark shall be calculated through the combination of specified units at levels 5 and 6. The contribution of the units to the overall degree mark shall be in proportion to the credit size and 25% of the overall degree mark shall be derived from level 5 units with 75% being from level 6 18. specified units might mean some modules are discounted [ignored]
</t>
  </si>
  <si>
    <t xml:space="preserve">CHESTER
Honours Degrees
Students who have fulfilled the credit requirements for the award of an Honours degree shall be awarded classifications on the basis of a weighted average mark from their study at Level 6 (Honours level) and Level 5(formerly Intermediate level). 
Averages for Level 5 and Level 6 shall be calculated, with each module’s mark weighted according to its credit value. In cases where numerical marks exist for between 100 and 120 credits at the relevant level, the calculation will be based on the highest 100 credit marks at that level. 
In cases where numerical marks exist for in excess of 120 credits at the relevant level, the lowest 20 credit mark will be deducted from the calculation. In cases where numerical marks exist for fewer than 100 credits at the relevant level, all marks will be used.These averages shall then be combined with a weighting of one-third for the Level 5 average mark and two-thirds for the Level 6 average mark. Figures used for this calculation shall not be rounded but will be expressed to two decimal places.
</t>
  </si>
  <si>
    <t>2006 The standard model for undergraduate courses is as follows:
1. Stage 1 120 Foundation level credits
2. Stage 2 120 Intermediate level credits
3. Stage 3 120 Honours level credits
Bachelor’s degree with honours, for which the minimum requirement is normally 360 credits of which no more than 120 credits should be at F level and at least 120 credits should be at H level subject to the provision of Section E2.4.  For the award of an honours degree in the sandwich mode there is an additional requirement of sufficient S level credits to satisfy Section C3.1. 
HUDDERSFIELD 2006 REGS STATE  10.The classification of Bachelor’s degrees awarded with honours 1.In a course leading to the award of a Bachelor’s degree with honours, classification will be based on a numerical average of marks awarded in graded I and H level credits undertaken in a student’s course of study, with the best marks totaling 100 credits at each level being included in the calculation. Subject to the provisions of E2.4, candidates must have achieved a pass mark in all modules.
2.In calculating the numerical average for the Bachelor’s degree with honours, all H level credits counting to the calculation will carry a weighting of two and all graded I level credits counting to the calculation will carry a weighting of one (subject to the provisions of E2.2.2).</t>
  </si>
  <si>
    <t xml:space="preserve">Honours Degree
H3.6An Honours degree classification will be awarded using these precepts:.
1  Students  will  be  provided  with  a  transcript  which  will  evidence the student’s best performance.
2  Classification will be based on the mean percentage mark (MPM), subject to the criteria defined in regulations 
 H3.6.3 –H3.6.6.
3 For Bachelor degrees, Level 4 modules are  excluded from  the calculation.  A weighted mean for Level 6 and Level  5 study is employed in the ratio of 70:30.
4 Where  all  the  modules  are  at  level  6  (top-up  degrees)  classification  shall  be based on the mean mark of the  marks for all modules undertaken .
5 Classification  will  be  based  on the mean  of  the  marks  for  all  modules,  other than the lowest 20 credits (over  Levels 5 and 6) which shall be discounted. NOT CLEAR IF THIS AT EACH LEVEL
6 Where the MPM is less than 2% below the next higher classification band and at  least  100  credits  (or  in  the   case  of  top  up  degrees  40  credits)  are  in  the higher band, the student will be awarded the higher classification
</t>
  </si>
  <si>
    <t xml:space="preserve">Award of a Bachelors Degree 
113.In order to complete a Degree with Honours students shall satisfy the requirements associated with such an award as set out in the course specification.
114.Students may be considered for an Honours degree, having been assessed in and been awarded 360 credits. Students must have been assessed in all modules1. 
115.Where a student has been assessed in 360 credits, and has achieved at least 300 credits, the student will be eligible for the award of an Ordinary degree. 
116.‘Top-up’ degree students may be considered for an Honours degree, having been assessed in and awarded 120 credits. Student must have been assessed in all modules1. 
117.‘Top-up’ degree students who have been assessed in 120 credits, and have achieved at least 60 credits, will be eligible for the award of an Ordinary degree.
Classification of Bachelors Degree
118.‘Top-up’ degree classifications will be calculated using the weighted average module marks for the best 100 credits at level 6.
119.For all other degrees the classification mark will be calculated using the weighted average module marks for the best 100 credits at level 6 (weighted at 70%) combined with the best 100 credits from the remaining credits at levels 5 and 6 (weighted at 30%).Classification averages are calculated to two decimal places.
</t>
  </si>
  <si>
    <t xml:space="preserve">BRADFORD
17.4The class and division of the Honours Degree of Bachelor shall be awarded to the individual students according to the order of the final overall weighted average marks derived from the best 100 credits in each of Stages 2 and 3, applying a 20.0% weighting for Stage 2 and an 80.0% weighting for Stage3.
17.5Subject to the provisions of 18.6 below, the classes and divisions of the Honours Degree of Bachelor shall be awarded on the basis of the following minimum final overall weighted average marks:
First Class Honours 68.0%
Second Class Honours 
-First Division 58.0%
Second Class Honours 
-Second Division 48.0%
Third Class Below 48.0%
</t>
  </si>
  <si>
    <t xml:space="preserve"> 8.11 and 8.11.1 Inclusion of the new algorithm for determining honours classifications for degree awards.  BEDFORD
8.8. For each candidate for the Bachelor’s degree with Honours, the class of Honours achieved will be based on the best of the two following weighted averages of unit marks:
8.8.1. Using the penultimate and final stages of the programme of study:
•Marks from the units comprising the best 90 credits at the final stage, including at least 30 credits from the designated project, are double weighted; and
•Marks from the units comprising the best 90 credits at the penultimate stage are single weighted; and
•The result of the weighted average calculation is rounded using the convention: 0.5 and above rounded up, otherwise rounded down to the nearest whole number.
8.9. Using only the final stage:
•The Honours classification is based on the average of the marks attained in 90 credits at the final stage, including at least 30 credits from the designated project.
8.10. The calculated mark for classifications for all honours awards will be determined using both of the above methodologies; students will be awarded using the higher of these calculations.
NEW REGS
The borderline limits  are generous
0 –100%First class honours
68 –69%2i/1stborderline
60 –67%Upper Second class honours
58 –59%2ii/2i borderline
50 –57%Lower Second class honours
48 –49%3/2ii borderline
40 –47% 3rdclass honours 
</t>
  </si>
  <si>
    <t xml:space="preserve">7.18In calculating the classification band in which a student falls, the Progression and Awards Board of Examiners will use two methods.The method giving the higher result will be used to determine the classification.
Method 1This is based on the average of the best grades at the level of the award amounting to 120 CATS, rounded to the nearest whole number. In the case of a student with ungraded credit at the level of the award, method 1 may be used provided there are grades for modules worth 90 CATSpoints. I AM ASSUMING 120 CATS = FINAL YEAR
Method 2This is based on the average(not rounded)of the best grades at the level one below that of the award amounting to 120 CATS, weighted at 20%, plus the average(not rounded)of the best grades at the level of the award amounting to 120 CATS, weighted at 80%, rounded to the nearest whole number. In the case of a student with ungraded credit at the level one below that of the award, method 2 may be used provided there are grades formodules worth 90CATSpoint
</t>
  </si>
  <si>
    <t xml:space="preserve">COVENTRY
6b.10.6 To obtain a University award a student who has been credited with modules for prior learning (see Regulation 4.2), shall be required to pass at least the further credits approved by the University, normally at the level indicated as listed below. However, no award can be made unless the overall credit count matches the requirements set out in 6b.10.2 above: 
a) Integrated Masters 60 credits at level 6 plus 120 credits at level 7 
b) Honours Degree 100 credits at level 6. 
c) Unclassified Degree 40 credits at level 5 or above plus 60 credits at level 6 
d) Dip of Higher Ed 100 credits at level 5
</t>
  </si>
  <si>
    <t>The overall degree classification is frequently based on the average marks obtained at Levels 5 and 6. This is often a weighted average. Within a level/year, modules are usually weighted according to their credit loading. While some degree schemes give equal weight to each of the last two years, most will weight the final year over the penultimate one (e.g. 60%/40%). The actual weighting to be applied will be shown in the programme document and in the student handbook validated by the University.</t>
  </si>
  <si>
    <t xml:space="preserve">NEWCASTLE
30.Marks from all modules studied at Stages 2 and 3 (or at Stages 2, 3 and 4 of a four-year programme) are used to determine degree classification and so  the  marks  for  these  modules  must  be  returned  using  the  University Common  Scale  (DC  Scale);  note  that  appropriate  modules  taken  during  an intercalating year, in accordance with the degree programme regulations, may be excluded from the calculation.
31.Any  non-modular  aggregated  assessment  at Stage  2,  Stage  3  and, where  appropriate,  Stage  4,  may  contribute  to  degree  classification  as specified in the relevant degree programme regulations.
32.The  degree  programme  regulations  shall  specify  the  weight  to  be  given to each stage beyond Stage 1. The stage averages (as defined in Regulation IV  C  36)  shall  be  combined,  according  to  the  prescribed  weightings,  to produce an overall average, which is also rounded to one decimal place. The final  programme  average is  then  obtained  by  rounding  the  overall  average to the nearest whole number. For a three-year programme, the weighting for Stage  2:  Stage  3  shall  be  one  of  1:1,  1:2;  1:3.  For  a four-year  programme(unless  Stage  3  is  regarded  as  an  intercalating  year) the  weighting  Stage  2: Stage 3: Stage4 shall beone of 1:2:2; 1:3:3; or 1:2:3.
</t>
  </si>
  <si>
    <t>WEB</t>
  </si>
  <si>
    <t>NOTES</t>
  </si>
  <si>
    <t>UNIVERSITY</t>
  </si>
  <si>
    <t>SHORTER NAME</t>
  </si>
  <si>
    <t>IoE (UCL)</t>
  </si>
  <si>
    <t>RAM</t>
  </si>
  <si>
    <t>LSHTM</t>
  </si>
  <si>
    <t>St George’s</t>
  </si>
  <si>
    <t>RVC</t>
  </si>
  <si>
    <t>ICR</t>
  </si>
  <si>
    <t>Heythorp</t>
  </si>
  <si>
    <t>LSTM</t>
  </si>
  <si>
    <t>RCA</t>
  </si>
  <si>
    <t>Cranfield</t>
  </si>
  <si>
    <t>Archbishop of Canterbury</t>
  </si>
  <si>
    <t>RCN</t>
  </si>
  <si>
    <t>Richmond</t>
  </si>
  <si>
    <t>Rose Bruford</t>
  </si>
  <si>
    <t>RCM</t>
  </si>
  <si>
    <t>RCS</t>
  </si>
  <si>
    <t>RNCM</t>
  </si>
  <si>
    <t>UCO</t>
  </si>
  <si>
    <t>UoL</t>
  </si>
  <si>
    <t>ALPHA</t>
  </si>
  <si>
    <r>
      <t xml:space="preserve">Degree classification will be determined based on a weighted grade point average of the grades achieved </t>
    </r>
    <r>
      <rPr>
        <u/>
        <sz val="11"/>
        <color theme="1"/>
        <rFont val="Calibri"/>
        <family val="2"/>
        <scheme val="minor"/>
      </rPr>
      <t>in the modules</t>
    </r>
    <r>
      <rPr>
        <sz val="11"/>
        <color theme="1"/>
        <rFont val="Calibri"/>
        <family val="2"/>
        <scheme val="minor"/>
      </rPr>
      <t xml:space="preserve"> taken instages 3 and 4 (normally 240 credits in total).  Failed modules will be included in the GPA calculation. No apparent weighting</t>
    </r>
  </si>
  <si>
    <t>5Determination of final award classification5.1The final degree mark for all Honours degrees will be calculated from the best 100 credits at level 5 and the best 100 credits at level 6 weighted at 30% level 5 and 70% level 6.</t>
  </si>
  <si>
    <t>WIEGHTING</t>
  </si>
  <si>
    <t>Prog specific</t>
  </si>
  <si>
    <t>TOTAL DISCOUNT</t>
  </si>
  <si>
    <t>PROGRAMME SPECIFIC</t>
  </si>
  <si>
    <t>UNKNOWN OR NOT RELEVANT</t>
  </si>
  <si>
    <t>SAMPLE</t>
  </si>
  <si>
    <t>https://www.gov.uk/check-a-university-is-officially-recognised/recognised-bodies</t>
  </si>
  <si>
    <t>Middlesex, Robert Gordon, SOAS</t>
  </si>
  <si>
    <t>Birmingham City, BPP, Chichester, Dundee, Durham, East Anglia, Essex, Kent, Newman-Birmingham, Northumbria Newcastle, Suffolk, Sussex, Writtle College, York</t>
  </si>
  <si>
    <t>GRADE</t>
  </si>
  <si>
    <t>D1</t>
  </si>
  <si>
    <t>D2</t>
  </si>
  <si>
    <t>D3</t>
  </si>
  <si>
    <t>D4</t>
  </si>
  <si>
    <t>C1</t>
  </si>
  <si>
    <t>C2</t>
  </si>
  <si>
    <t>C3</t>
  </si>
  <si>
    <t>C4</t>
  </si>
  <si>
    <t>B1</t>
  </si>
  <si>
    <t>B2</t>
  </si>
  <si>
    <t>B3</t>
  </si>
  <si>
    <t>B4</t>
  </si>
  <si>
    <t>A1</t>
  </si>
  <si>
    <t>A2</t>
  </si>
  <si>
    <t>A3</t>
  </si>
  <si>
    <t>A4</t>
  </si>
  <si>
    <t>A*1</t>
  </si>
  <si>
    <t>A*2</t>
  </si>
  <si>
    <t>A*3</t>
  </si>
  <si>
    <t>A*4</t>
  </si>
  <si>
    <t>A*</t>
  </si>
  <si>
    <r>
      <t xml:space="preserve">COMPARE YOUR DEGREE CLASSIFCATION </t>
    </r>
    <r>
      <rPr>
        <vertAlign val="superscript"/>
        <sz val="14"/>
        <rFont val="Calibri"/>
        <family val="2"/>
        <scheme val="minor"/>
      </rPr>
      <t xml:space="preserve"> © </t>
    </r>
    <r>
      <rPr>
        <b/>
        <sz val="14"/>
        <color theme="2" tint="-0.749992370372631"/>
        <rFont val="Calibri"/>
        <family val="2"/>
        <scheme val="minor"/>
      </rPr>
      <t xml:space="preserve">   [For degress based on 360 credits only]</t>
    </r>
  </si>
  <si>
    <t>BAND</t>
  </si>
  <si>
    <t>[3rd]</t>
  </si>
  <si>
    <t>[2:2]</t>
  </si>
  <si>
    <t>[2:1]</t>
  </si>
  <si>
    <t>1st</t>
  </si>
  <si>
    <t>[1st *]</t>
  </si>
  <si>
    <t>The 'calculator' can accommodate modules of 5 credit or above, the maximum number of credits per year is however 12.</t>
  </si>
  <si>
    <t>DEFINATE UPLIFTS</t>
  </si>
  <si>
    <r>
      <rPr>
        <b/>
        <sz val="13"/>
        <color theme="1"/>
        <rFont val="Calibri"/>
        <family val="2"/>
        <scheme val="minor"/>
      </rPr>
      <t>2.</t>
    </r>
    <r>
      <rPr>
        <sz val="13"/>
        <color theme="1"/>
        <rFont val="Calibri"/>
        <family val="2"/>
        <scheme val="minor"/>
      </rPr>
      <t xml:space="preserve"> Be</t>
    </r>
    <r>
      <rPr>
        <sz val="13"/>
        <color rgb="FFFF0000"/>
        <rFont val="Calibri"/>
        <family val="2"/>
        <scheme val="minor"/>
      </rPr>
      <t xml:space="preserve"> </t>
    </r>
    <r>
      <rPr>
        <b/>
        <sz val="13"/>
        <color rgb="FFFF0000"/>
        <rFont val="Calibri"/>
        <family val="2"/>
        <scheme val="minor"/>
      </rPr>
      <t>careful</t>
    </r>
    <r>
      <rPr>
        <b/>
        <sz val="13"/>
        <color theme="1"/>
        <rFont val="Calibri"/>
        <family val="2"/>
        <scheme val="minor"/>
      </rPr>
      <t xml:space="preserve"> </t>
    </r>
    <r>
      <rPr>
        <sz val="13"/>
        <color theme="1"/>
        <rFont val="Calibri"/>
        <family val="2"/>
        <scheme val="minor"/>
      </rPr>
      <t xml:space="preserve">when entering your </t>
    </r>
    <r>
      <rPr>
        <b/>
        <sz val="13"/>
        <color theme="1"/>
        <rFont val="Calibri"/>
        <family val="2"/>
        <scheme val="minor"/>
      </rPr>
      <t>marks</t>
    </r>
    <r>
      <rPr>
        <sz val="13"/>
        <color theme="1"/>
        <rFont val="Calibri"/>
        <family val="2"/>
        <scheme val="minor"/>
      </rPr>
      <t xml:space="preserve"> and the related </t>
    </r>
    <r>
      <rPr>
        <b/>
        <sz val="13"/>
        <color theme="1"/>
        <rFont val="Calibri"/>
        <family val="2"/>
        <scheme val="minor"/>
      </rPr>
      <t xml:space="preserve">credit, </t>
    </r>
    <r>
      <rPr>
        <sz val="13"/>
        <color theme="1"/>
        <rFont val="Calibri"/>
        <family val="2"/>
        <scheme val="minor"/>
      </rPr>
      <t>incorrect entries will be very misleading</t>
    </r>
  </si>
  <si>
    <t>E1</t>
  </si>
  <si>
    <t>E2</t>
  </si>
  <si>
    <t>E3</t>
  </si>
  <si>
    <t>E4</t>
  </si>
  <si>
    <t>A**</t>
  </si>
  <si>
    <r>
      <rPr>
        <b/>
        <sz val="13"/>
        <color theme="1"/>
        <rFont val="Calibri"/>
        <family val="2"/>
        <scheme val="minor"/>
      </rPr>
      <t xml:space="preserve">3. </t>
    </r>
    <r>
      <rPr>
        <sz val="13"/>
        <color theme="1"/>
        <rFont val="Calibri"/>
        <family val="2"/>
        <scheme val="minor"/>
      </rPr>
      <t xml:space="preserve">For each year check that all your credits add up to </t>
    </r>
    <r>
      <rPr>
        <b/>
        <sz val="13"/>
        <color theme="1"/>
        <rFont val="Calibri"/>
        <family val="2"/>
        <scheme val="minor"/>
      </rPr>
      <t xml:space="preserve">120 </t>
    </r>
    <r>
      <rPr>
        <sz val="13"/>
        <color theme="1"/>
        <rFont val="Calibri"/>
        <family val="2"/>
        <scheme val="minor"/>
      </rPr>
      <t xml:space="preserve">and that overall your total credits are </t>
    </r>
    <r>
      <rPr>
        <b/>
        <sz val="13"/>
        <color theme="1"/>
        <rFont val="Calibri"/>
        <family val="2"/>
        <scheme val="minor"/>
      </rPr>
      <t>360</t>
    </r>
  </si>
  <si>
    <t>nationaldegreemark@gmail.com</t>
  </si>
  <si>
    <t>LOWER</t>
  </si>
  <si>
    <r>
      <rPr>
        <b/>
        <sz val="13"/>
        <color theme="1"/>
        <rFont val="Calibri"/>
        <family val="2"/>
        <scheme val="minor"/>
      </rPr>
      <t xml:space="preserve">4. </t>
    </r>
    <r>
      <rPr>
        <sz val="13"/>
        <color theme="1"/>
        <rFont val="Calibri"/>
        <family val="2"/>
        <scheme val="minor"/>
      </rPr>
      <t xml:space="preserve">The area below is formatted for printing, but check </t>
    </r>
    <r>
      <rPr>
        <b/>
        <sz val="13"/>
        <color theme="1"/>
        <rFont val="Calibri"/>
        <family val="2"/>
        <scheme val="minor"/>
      </rPr>
      <t>Page Break Preview</t>
    </r>
    <r>
      <rPr>
        <sz val="13"/>
        <color theme="1"/>
        <rFont val="Calibri"/>
        <family val="2"/>
        <scheme val="minor"/>
      </rPr>
      <t xml:space="preserve"> before printing.</t>
    </r>
  </si>
  <si>
    <t>UPPER</t>
  </si>
  <si>
    <t>+</t>
  </si>
  <si>
    <t>A selection of UK university algorithms                                                                                                      [as of July 2017]</t>
  </si>
  <si>
    <t>YEAR 1</t>
  </si>
  <si>
    <t>YEAR 2</t>
  </si>
  <si>
    <t>YEAR 3</t>
  </si>
  <si>
    <t>3rd</t>
  </si>
  <si>
    <t>2:2</t>
  </si>
  <si>
    <t>2:1</t>
  </si>
  <si>
    <t>1st*</t>
  </si>
  <si>
    <t>Algorithm</t>
  </si>
  <si>
    <t>Years Used</t>
  </si>
  <si>
    <t>Weights</t>
  </si>
  <si>
    <t>Module</t>
  </si>
  <si>
    <t>Credit</t>
  </si>
  <si>
    <t>Mark</t>
  </si>
  <si>
    <t>Grade</t>
  </si>
  <si>
    <t>rank [1]</t>
  </si>
  <si>
    <t>small</t>
  </si>
  <si>
    <t>vlook</t>
  </si>
  <si>
    <t>rank [2]</t>
  </si>
  <si>
    <t>R / Tot</t>
  </si>
  <si>
    <t>ALL CREDITS AND ALL YEARS USED [360 credits in total]</t>
  </si>
  <si>
    <t>round mark</t>
  </si>
  <si>
    <t>if y1 = 1</t>
  </si>
  <si>
    <t>if y2 = 1</t>
  </si>
  <si>
    <t>if y3 = 1</t>
  </si>
  <si>
    <t>left over [FROM BEST 100]</t>
  </si>
  <si>
    <t>Y1 / Y2 / Y3</t>
  </si>
  <si>
    <t>EVEN</t>
  </si>
  <si>
    <t>London School of Economics</t>
  </si>
  <si>
    <t>SWANSEA [Y3]</t>
  </si>
  <si>
    <t>10 / 30 / 60</t>
  </si>
  <si>
    <t>Warwick, QU Belfast, Queen Mary</t>
  </si>
  <si>
    <t>NO DISCOUNTING ALL CREDITS USED [240 in total]</t>
  </si>
  <si>
    <t>Y2 / Y3</t>
  </si>
  <si>
    <t>Oxford Brookes, Newcastle, Bishop Grosseteste</t>
  </si>
  <si>
    <t>UAE, Kent, York, Leicester, Essex, Durham</t>
  </si>
  <si>
    <t>Reading, Exeter, Manchester, Sheffield, Buckingham [New]</t>
  </si>
  <si>
    <t>Nottingham Trent, Liverpool, Cardiff, Bournemouth, Harper Adams, Staffordshire, Ulster</t>
  </si>
  <si>
    <t xml:space="preserve">Aston, Manchester Met, </t>
  </si>
  <si>
    <t>Birmingham, Greenwich</t>
  </si>
  <si>
    <t>20 CREDITS DISCOUNTED PER YEAR  [200 credits in total]</t>
  </si>
  <si>
    <t>Canterbury Christ Church, Portsmouth</t>
  </si>
  <si>
    <t>Bath Spa, Northumbria</t>
  </si>
  <si>
    <t>Total Credits</t>
  </si>
  <si>
    <t>University of Wales Trinity Saint David</t>
  </si>
  <si>
    <t>Year 1 Average mark</t>
  </si>
  <si>
    <t>Year 2 Average mark</t>
  </si>
  <si>
    <t>Year 3 average mark</t>
  </si>
  <si>
    <t>Cardiff Metropolitan, Southampton Solent</t>
  </si>
  <si>
    <t>[1st]</t>
  </si>
  <si>
    <t>Arts University Bournemouth, Leeds Beckett, Sheffield Hallam, UWE</t>
  </si>
  <si>
    <t>National Degree Mark &amp; Grade</t>
  </si>
  <si>
    <t>The Degree Average from other UK Universities</t>
  </si>
  <si>
    <t>Bradford, Derby</t>
  </si>
  <si>
    <t>30 CRDEITS DISCOUNTED PER YEAR [180 credits in total]</t>
  </si>
  <si>
    <t xml:space="preserve">A selection of UK University Degree Algorithms    </t>
  </si>
  <si>
    <t>SWANSEA</t>
  </si>
  <si>
    <t>Range in Degree Marks:</t>
  </si>
  <si>
    <t>Coventry - based on the best 100 credits</t>
  </si>
  <si>
    <t>Possible uplift depending on the university's regulations for borderline marks</t>
  </si>
  <si>
    <t>RANGE</t>
  </si>
  <si>
    <t xml:space="preserve">The UWE degree classification is based on the average of the best 200 credits at years 2 and 3, where the unused (20) credits from year 3 are ‘batched’ with the year 2 marks. Marks achieved for the best 100 level 3 credits are weighted three times the value of the marks for the 100 credits at level 2 [i.e. 25% / 75%, respectively]. </t>
  </si>
  <si>
    <t>Range in Degree Classifications:</t>
  </si>
  <si>
    <t>No change in Classifications:-</t>
  </si>
  <si>
    <t>MARK</t>
  </si>
  <si>
    <t>link</t>
  </si>
  <si>
    <t>CODE</t>
  </si>
  <si>
    <t>Check CREDIT</t>
  </si>
  <si>
    <t>Student Y</t>
  </si>
  <si>
    <t>Module 1</t>
  </si>
  <si>
    <t>Module 7</t>
  </si>
  <si>
    <t>Module 13</t>
  </si>
  <si>
    <t>Module 2</t>
  </si>
  <si>
    <t>Module 8</t>
  </si>
  <si>
    <t>Module 14</t>
  </si>
  <si>
    <t>Module 3</t>
  </si>
  <si>
    <t>Module 9</t>
  </si>
  <si>
    <t>Module 15</t>
  </si>
  <si>
    <t>Module 4</t>
  </si>
  <si>
    <t>Module 10</t>
  </si>
  <si>
    <t>Module 16</t>
  </si>
  <si>
    <t>Module 5</t>
  </si>
  <si>
    <t>Module 11</t>
  </si>
  <si>
    <t>Module 17</t>
  </si>
  <si>
    <t>Module 6</t>
  </si>
  <si>
    <t>Module 12</t>
  </si>
  <si>
    <t>Module 18</t>
  </si>
  <si>
    <t>No change in Classifications:- 2:1</t>
  </si>
  <si>
    <t>Student X</t>
  </si>
  <si>
    <t>Range in Degree Classifications: 2:1 to 1st</t>
  </si>
  <si>
    <t>Range in Degree Classifications: 2:2 to 1st</t>
  </si>
  <si>
    <t>y1</t>
  </si>
  <si>
    <t>y2</t>
  </si>
  <si>
    <t>y3</t>
  </si>
  <si>
    <t>Degree classification will be determined based on a weighted grade point average of the grades achieved in the modules taken instages 3 and 4 (normally 240 credits in total).  Failed modules will be included in the GPA calculation. No apparent weighting</t>
  </si>
  <si>
    <t>20 d</t>
  </si>
  <si>
    <t>30 d</t>
  </si>
  <si>
    <t>degree of smallness</t>
  </si>
  <si>
    <t>20 D</t>
  </si>
  <si>
    <t>30 D</t>
  </si>
  <si>
    <t>40 D</t>
  </si>
  <si>
    <t>COUNTING</t>
  </si>
  <si>
    <t>90/CRED/L3</t>
  </si>
  <si>
    <t>l3 LEFT OVER+L2</t>
  </si>
  <si>
    <t>LI</t>
  </si>
  <si>
    <t>L1</t>
  </si>
  <si>
    <t>L2</t>
  </si>
  <si>
    <t>L3</t>
  </si>
  <si>
    <t>COUNT</t>
  </si>
  <si>
    <t>80/L3</t>
  </si>
  <si>
    <t>40-L3/40-L2</t>
  </si>
  <si>
    <t>L2-80/L1-120</t>
  </si>
  <si>
    <t xml:space="preserve">Aberystwyth, King's College London </t>
  </si>
  <si>
    <t>L3-40 L2-120</t>
  </si>
  <si>
    <t xml:space="preserve">Swansea, London South Bank, </t>
  </si>
  <si>
    <t>L3/105</t>
  </si>
  <si>
    <t>L2/105</t>
  </si>
  <si>
    <t>L2-90 / L3-30</t>
  </si>
  <si>
    <t>discounted marks</t>
  </si>
  <si>
    <t>Y3&gt;Y2 [20]</t>
  </si>
  <si>
    <t>Y3&gt;Y2 [60]</t>
  </si>
  <si>
    <t>Y3&gt;Y2 [80]</t>
  </si>
  <si>
    <r>
      <t>Y3&gt;Y2 [</t>
    </r>
    <r>
      <rPr>
        <b/>
        <sz val="11"/>
        <color rgb="FFFF0000"/>
        <rFont val="Calibri"/>
        <family val="2"/>
        <scheme val="minor"/>
      </rPr>
      <t>30</t>
    </r>
    <r>
      <rPr>
        <b/>
        <sz val="11"/>
        <color theme="1"/>
        <rFont val="Calibri"/>
        <family val="2"/>
        <scheme val="minor"/>
      </rPr>
      <t>]</t>
    </r>
  </si>
  <si>
    <t>IF X USE Y2</t>
  </si>
  <si>
    <t xml:space="preserve">AUGUST 2017
The class of Honours degree shall be decided in accordance with Schedule 1 below on the average of the marks obtained in the best fourteen level 5 or above acceptable module credits, which carry the highest marks. 
The marks for the best six acceptable level 6 honours module credits will always be included in the average. All students must have four graded acceptable level 6 honours module credits at the University for the purposes of classification.
2020
The class of Honours degree shall be decided in accordance with Schedule 1 below on the average of the marks obtained in the best fourteen level 5 or above acceptable module credits, which carry the highest marks. 
The marks for the best six acceptable level 6 honours module credits will always be included in the average. All students must have four graded acceptable level 6 honours module credits at the University for the purposes of classification.
SEEMS TO BE AN 8 X15 CREDIT STRUCTURE
Therefore if
Level 2 + 3 = 16 modules, then 30 credits are being discounted – which could be at level 3 or level 2 or both
</t>
  </si>
  <si>
    <t>L3 [100]</t>
  </si>
  <si>
    <t>L2 [40]</t>
  </si>
  <si>
    <t xml:space="preserve">ROEHAMPTON
The Bachelor of Arts in Primary Education is classified on the basis of the average of the percentage marks in the best 160 credits at Levels 5–6 which the student has achieved at the University (i.e. not through credit transfer), irrespective of subject and with no weighting between levels, rounded to the nearest whole number. Each mark is weighted in the calculation according to the credit value of the module to which it applies. Where astudent has achieved fewer than 160 credits at theUniversity,the award will be classified on the basis of the average of the percentage marks in all of the credits a tLevels 5–6 which the student has achieved tthe University,irrespective of subject and with no weighting between levels, rounded to the nearest whole number.
</t>
  </si>
  <si>
    <t>Roehampton</t>
  </si>
  <si>
    <t>if 1 discount Y3</t>
  </si>
  <si>
    <t>OXBROOKES</t>
  </si>
  <si>
    <t>WESTMINSTER</t>
  </si>
  <si>
    <t>LOWEST 30 @L3</t>
  </si>
  <si>
    <t>LOWEST 30 SPLIT L2+L3</t>
  </si>
  <si>
    <t>LOWEST 30 @L2</t>
  </si>
  <si>
    <t>LOWEST</t>
  </si>
  <si>
    <t>LOWEST AT L2 =0</t>
  </si>
  <si>
    <t>LOWEST AT L3 =2</t>
  </si>
  <si>
    <t>LOWEST SPLIT</t>
  </si>
  <si>
    <t>ROUND</t>
  </si>
  <si>
    <t>60 - 40</t>
  </si>
  <si>
    <t>DROP DOWN FROM L3</t>
  </si>
  <si>
    <t>L3[80]</t>
  </si>
  <si>
    <t>L3[40]</t>
  </si>
  <si>
    <t>L5[40</t>
  </si>
  <si>
    <t>MAX</t>
  </si>
  <si>
    <t>MIN</t>
  </si>
  <si>
    <t>ALG NO. [TABLE 7]</t>
  </si>
  <si>
    <t>Year 1, 2 and 3 algorithms</t>
  </si>
  <si>
    <t>Year 2 and 3 algorithms</t>
  </si>
  <si>
    <t>Year 3 only algorithms</t>
  </si>
  <si>
    <t>Alg No.</t>
  </si>
  <si>
    <t>TOT</t>
  </si>
  <si>
    <t>Discounts</t>
  </si>
  <si>
    <t>Arts Uni -Bournemouth</t>
  </si>
  <si>
    <t>One tick   [P]</t>
  </si>
  <si>
    <t>Degree Grades</t>
  </si>
  <si>
    <t>[%]</t>
  </si>
  <si>
    <t>University + Years used</t>
  </si>
  <si>
    <t xml:space="preserve">The Variation in UK University Degree Algorithms - why it matters </t>
  </si>
  <si>
    <r>
      <rPr>
        <b/>
        <sz val="12"/>
        <color theme="1"/>
        <rFont val="Calibri"/>
        <family val="2"/>
        <scheme val="minor"/>
      </rPr>
      <t>[1]</t>
    </r>
    <r>
      <rPr>
        <sz val="12"/>
        <color theme="1"/>
        <rFont val="Calibri"/>
        <family val="2"/>
        <scheme val="minor"/>
      </rPr>
      <t xml:space="preserve">  The number of years used in the calculation.</t>
    </r>
  </si>
  <si>
    <r>
      <rPr>
        <b/>
        <sz val="12"/>
        <color theme="1"/>
        <rFont val="Calibri"/>
        <family val="2"/>
        <scheme val="minor"/>
      </rPr>
      <t xml:space="preserve">[2]  </t>
    </r>
    <r>
      <rPr>
        <sz val="12"/>
        <color theme="1"/>
        <rFont val="Calibri"/>
        <family val="2"/>
        <scheme val="minor"/>
      </rPr>
      <t>The weightings given to those years used (or differential weighting).</t>
    </r>
  </si>
  <si>
    <t>The range of algorithms used by UK universities [27-01-2019]</t>
  </si>
  <si>
    <t>SORTING COLUMNS.</t>
  </si>
  <si>
    <t xml:space="preserve">Stirling </t>
  </si>
  <si>
    <t xml:space="preserve">Westminster </t>
  </si>
  <si>
    <t xml:space="preserve">Oxford Brookes </t>
  </si>
  <si>
    <t xml:space="preserve">Wolverhampton </t>
  </si>
  <si>
    <t xml:space="preserve">Roehampton </t>
  </si>
  <si>
    <t>Liverpool Hope</t>
  </si>
  <si>
    <t>Cardiff</t>
  </si>
  <si>
    <t>Leeds Trinity</t>
  </si>
  <si>
    <t>Worcester</t>
  </si>
  <si>
    <t>Bedfordshire</t>
  </si>
  <si>
    <t>Bolton</t>
  </si>
  <si>
    <t>Lincoln</t>
  </si>
  <si>
    <t>UAL</t>
  </si>
  <si>
    <t>St Mary’s, Twickenham</t>
  </si>
  <si>
    <t>Years 1, 2, and 3 [NO DISCOUNTING] - 4</t>
  </si>
  <si>
    <t>Years 1, 2, and 3 [DISCOUNTING] - 3</t>
  </si>
  <si>
    <t>Years 2 and 3 [NO DISCOUNTING] - 69</t>
  </si>
  <si>
    <t>Years 2 and 3 [DISCOUNTING] - 38</t>
  </si>
  <si>
    <t>Year 3 only [NO DICOUNTING] - 11</t>
  </si>
  <si>
    <t>Year 3 only [DISCOUNTING] - 2</t>
  </si>
  <si>
    <r>
      <t xml:space="preserve">In </t>
    </r>
    <r>
      <rPr>
        <b/>
        <sz val="12"/>
        <color theme="1"/>
        <rFont val="Calibri"/>
        <family val="2"/>
        <scheme val="minor"/>
      </rPr>
      <t>split-credits</t>
    </r>
    <r>
      <rPr>
        <sz val="12"/>
        <color theme="1"/>
        <rFont val="Calibri"/>
        <family val="2"/>
        <scheme val="minor"/>
      </rPr>
      <t>, the marks within a year are batched and weighted differently. For example, at Swansea, (i) the best 80 credits at year 3 are given a weighting of 3, (ii) the remaining 40 credits at year 3 and the best marks in 40 credits in year 2 are given a weighting of 2, (iii) and the remaining year 2 marks a weighting of 1.</t>
    </r>
  </si>
  <si>
    <t xml:space="preserve">(a) </t>
  </si>
  <si>
    <t xml:space="preserve">(b) </t>
  </si>
  <si>
    <t>Students with inconsistent marks are advantaged while those with consistent mark are not.</t>
  </si>
  <si>
    <t>The same set of marks would receive a different classification depending on which university the student attended</t>
  </si>
  <si>
    <t>The range in algorithms</t>
  </si>
  <si>
    <t>Why this variation matters</t>
  </si>
  <si>
    <t>What's the solution?</t>
  </si>
  <si>
    <t>A National Degree Mark and Grade - a proposal</t>
  </si>
  <si>
    <r>
      <rPr>
        <b/>
        <sz val="13"/>
        <color theme="1"/>
        <rFont val="Calibri"/>
        <family val="2"/>
        <scheme val="minor"/>
      </rPr>
      <t>1.</t>
    </r>
    <r>
      <rPr>
        <sz val="13"/>
        <color theme="1"/>
        <rFont val="Calibri"/>
        <family val="2"/>
        <scheme val="minor"/>
      </rPr>
      <t xml:space="preserve"> In the yellow cells, enter in your known or target module marks and credits (use whole numbers and always round down) </t>
    </r>
  </si>
  <si>
    <t>Credits</t>
  </si>
  <si>
    <t>Degree Mark</t>
  </si>
  <si>
    <t>Uplift</t>
  </si>
  <si>
    <t>web link to WonkHE</t>
  </si>
  <si>
    <r>
      <t>Have a look at the '</t>
    </r>
    <r>
      <rPr>
        <b/>
        <sz val="12"/>
        <color rgb="FF0000CC"/>
        <rFont val="Calibri"/>
        <family val="2"/>
        <scheme val="minor"/>
      </rPr>
      <t>Degree Mark Simulator</t>
    </r>
    <r>
      <rPr>
        <sz val="12"/>
        <color theme="1"/>
        <rFont val="Calibri"/>
        <family val="2"/>
        <scheme val="minor"/>
      </rPr>
      <t>' tab and see how your current marks and target marks compare across a range of algorithms (including the National Degree Mark). If you have any questions about the spreadsheet or this proposal  then email Dave Allen at</t>
    </r>
  </si>
  <si>
    <t>The area above is formatted for printing, but check Page Break Preview before printing.</t>
  </si>
  <si>
    <t>p</t>
  </si>
  <si>
    <t>Range of marks</t>
  </si>
  <si>
    <t>Max</t>
  </si>
  <si>
    <t>Min</t>
  </si>
  <si>
    <t>Difference</t>
  </si>
  <si>
    <t>Median</t>
  </si>
  <si>
    <t>Average</t>
  </si>
  <si>
    <t>This is not a definitive comparison. Many universities use one or more calculations that are unique to the institution and they have different ways of rounding numbers (which is important when it comes to boarderline marks).</t>
  </si>
  <si>
    <t>Boarderline</t>
  </si>
  <si>
    <r>
      <t>Uplift    [</t>
    </r>
    <r>
      <rPr>
        <b/>
        <sz val="12"/>
        <color rgb="FFC00000"/>
        <rFont val="Wingdings 2"/>
        <family val="1"/>
        <charset val="2"/>
      </rPr>
      <t>P</t>
    </r>
    <r>
      <rPr>
        <b/>
        <sz val="12"/>
        <color theme="1"/>
        <rFont val="Calibri"/>
        <family val="2"/>
        <scheme val="minor"/>
      </rPr>
      <t>]</t>
    </r>
  </si>
  <si>
    <t>BY BATCHES</t>
  </si>
  <si>
    <t>As autonomous institutions, all UK universities have their own method (or algorithms) for calculating a degree mark which then determines the final degree classification [e.g. 1st, 2:1, 2:2, or 3rd], they differ in three ways:</t>
  </si>
  <si>
    <r>
      <rPr>
        <b/>
        <sz val="12"/>
        <color theme="1"/>
        <rFont val="Calibri"/>
        <family val="2"/>
        <scheme val="minor"/>
      </rPr>
      <t>[3]</t>
    </r>
    <r>
      <rPr>
        <sz val="12"/>
        <color theme="1"/>
        <rFont val="Calibri"/>
        <family val="2"/>
        <scheme val="minor"/>
      </rPr>
      <t xml:space="preserve">  Whether lower marks are ignored (or discounted) in any of the counting years. </t>
    </r>
  </si>
  <si>
    <r>
      <t xml:space="preserve">[*] EITHER / OR - uses two algorithms where the highest is the degree mark [^^] Discount lowest marks in </t>
    </r>
    <r>
      <rPr>
        <b/>
        <u/>
        <sz val="11"/>
        <color theme="1"/>
        <rFont val="Calibri"/>
        <family val="2"/>
        <scheme val="minor"/>
      </rPr>
      <t>any</t>
    </r>
    <r>
      <rPr>
        <b/>
        <sz val="11"/>
        <color theme="1"/>
        <rFont val="Calibri"/>
        <family val="2"/>
        <scheme val="minor"/>
      </rPr>
      <t xml:space="preserve"> year</t>
    </r>
  </si>
  <si>
    <t>It follows that different algorithms will result in different marks (and classification) when applied to the same set of marks - consider the likely difference in the degree mark between that of Aberystwyth (all years no discounts) and Coventry (the best 100 credits from year 3 only). As a result;</t>
  </si>
  <si>
    <t xml:space="preserve">Assessment and progression regulations for taught programmes
Section EPage 31
E3.4.4Methods of Determining Classifications
For a profile (either level FHEQ 5 and above, or FHEQ level 6 and above), 50 per cent or above of graded credit must lie in the class. In addition there must be no more than the maximum amount of credit at low grades indicated by the bold line in table Aabove.Note that the achievement of an honours class for a single profile does not guarantee the award of that class. Both profiles are considered in determination of the overall classification, as described under E3.4.2 above.A profile will be considered as borderline where the profile shows that the percentage of low grades below the bold line exceeds the permitted maximum
</t>
  </si>
  <si>
    <t>Calculating Marks</t>
  </si>
  <si>
    <t>Module [A]</t>
  </si>
  <si>
    <t>Test</t>
  </si>
  <si>
    <t>Final Exam</t>
  </si>
  <si>
    <t>Essay</t>
  </si>
  <si>
    <t>Weight [%]</t>
  </si>
  <si>
    <t>The weighted average</t>
  </si>
  <si>
    <t>x</t>
  </si>
  <si>
    <t>=</t>
  </si>
  <si>
    <t>÷</t>
  </si>
  <si>
    <t>Mod 1</t>
  </si>
  <si>
    <t>Mod 2</t>
  </si>
  <si>
    <t>Mod 3</t>
  </si>
  <si>
    <t>Mod 4</t>
  </si>
  <si>
    <t>Mod 5</t>
  </si>
  <si>
    <t>Mod 6</t>
  </si>
  <si>
    <t>Mod 7</t>
  </si>
  <si>
    <t>Mod 8</t>
  </si>
  <si>
    <t>Mod 9</t>
  </si>
  <si>
    <t>Mod 10</t>
  </si>
  <si>
    <t>Mod 11</t>
  </si>
  <si>
    <t>Mod 12</t>
  </si>
  <si>
    <t>Mod 13</t>
  </si>
  <si>
    <t>Mod 14</t>
  </si>
  <si>
    <t>Mod 15</t>
  </si>
  <si>
    <t>Mod 16</t>
  </si>
  <si>
    <t>Mod 17</t>
  </si>
  <si>
    <t>Mod 18</t>
  </si>
  <si>
    <t>Crd</t>
  </si>
  <si>
    <t>Yearly Averages</t>
  </si>
  <si>
    <t>What is the coursework mark (rounded down)?</t>
  </si>
  <si>
    <t>CW</t>
  </si>
  <si>
    <t>Type your answer here</t>
  </si>
  <si>
    <t>÷ 120  =</t>
  </si>
  <si>
    <t>Answer here</t>
  </si>
  <si>
    <r>
      <t xml:space="preserve">Incorrect - (62.75 + 54.50 +72.38) </t>
    </r>
    <r>
      <rPr>
        <sz val="11"/>
        <color theme="1"/>
        <rFont val="Calibri"/>
        <family val="2"/>
      </rPr>
      <t xml:space="preserve">÷ 3 = 63.21, their National Degree Grade is B2 </t>
    </r>
  </si>
  <si>
    <r>
      <t xml:space="preserve">Correct - (62.75 + 54.50 +72.38) </t>
    </r>
    <r>
      <rPr>
        <sz val="11"/>
        <color theme="1"/>
        <rFont val="Calibri"/>
        <family val="2"/>
      </rPr>
      <t xml:space="preserve">÷ 3 = 63.21, their National Degree Grade is B2 </t>
    </r>
  </si>
  <si>
    <t>Oxford Brookes</t>
  </si>
  <si>
    <t>If we took the simple average of 56, 79, and 68 we would get 67.7% - but this is incorrect. We need the weighted average which recognises that the exam makes a bigger contribution [50%] to the final mark than the test [20%].</t>
  </si>
  <si>
    <t>Westminster</t>
  </si>
  <si>
    <t>Wolverhampton</t>
  </si>
  <si>
    <t>Å</t>
  </si>
  <si>
    <t>M1</t>
  </si>
  <si>
    <t>M7</t>
  </si>
  <si>
    <t>M13</t>
  </si>
  <si>
    <t>M2</t>
  </si>
  <si>
    <t>M8</t>
  </si>
  <si>
    <t>M14</t>
  </si>
  <si>
    <t>M3</t>
  </si>
  <si>
    <t>M9</t>
  </si>
  <si>
    <t>M15</t>
  </si>
  <si>
    <t>M4</t>
  </si>
  <si>
    <t>M10</t>
  </si>
  <si>
    <t>M16</t>
  </si>
  <si>
    <t>M5</t>
  </si>
  <si>
    <t>M11</t>
  </si>
  <si>
    <t>M17</t>
  </si>
  <si>
    <t>M6</t>
  </si>
  <si>
    <t>M12</t>
  </si>
  <si>
    <t>M18</t>
  </si>
  <si>
    <t>Its best to start by looking at how we can use the weighted average to find a module mark. Most modules have two or three assessment elements (e.g. test, essay that make up the coursework component and a final exam) and these elements might have different weightings - as below</t>
  </si>
  <si>
    <t>Annual marks and the overall degree marks are truncated at two decimal points, this being so, what is the overall average mark across all modules, i.e. What is this student's 'National Degree Mark'?</t>
  </si>
  <si>
    <t>Top 3 degree marks</t>
  </si>
  <si>
    <t>Bottom 3 degree marks</t>
  </si>
  <si>
    <t>Average  62.75</t>
  </si>
  <si>
    <t>Average  62.25</t>
  </si>
  <si>
    <t>Average 64.63</t>
  </si>
  <si>
    <t xml:space="preserve">Correct - the coursework mark is: (30 x 56) + (20  x 79) = 3,260, divided by 50 credits gives 65.2%, which rounded down is 65% </t>
  </si>
  <si>
    <t xml:space="preserve">Incorrect -  the coursework mark is: (30 x 56) + (20  x 79) = 3,260, divided by 50 credits gives 65.2%, which rounded down is 65% </t>
  </si>
  <si>
    <t>We can use the same method to calculate annual averages. This method is particularly helpful when you have modules with different credits (Crd) or weightings as shown below</t>
  </si>
  <si>
    <t xml:space="preserve">  </t>
  </si>
  <si>
    <t xml:space="preserve">The 'National Degree Mark', is simply the weighted average of all module marks across all years of study. The National Degree Grades (D1 to A*4) complement the current classifications (3rd to a 1st). </t>
  </si>
  <si>
    <r>
      <rPr>
        <b/>
        <sz val="12"/>
        <rFont val="Calibri"/>
        <family val="2"/>
        <scheme val="minor"/>
      </rPr>
      <t>Profiling</t>
    </r>
    <r>
      <rPr>
        <sz val="12"/>
        <rFont val="Calibri"/>
        <family val="2"/>
        <scheme val="minor"/>
      </rPr>
      <t xml:space="preserve"> uses the preponderance principle to determine the student’s classification (as opposed to degree mark). The process begins by ranking the student’s marks and then looks at the proportion of marks at or above a given mark. For example, a student might be awarded a first (1</t>
    </r>
    <r>
      <rPr>
        <vertAlign val="superscript"/>
        <sz val="12"/>
        <rFont val="Calibri"/>
        <family val="2"/>
        <scheme val="minor"/>
      </rPr>
      <t>st</t>
    </r>
    <r>
      <rPr>
        <sz val="12"/>
        <rFont val="Calibri"/>
        <family val="2"/>
        <scheme val="minor"/>
      </rPr>
      <t>) where they have attained 90 credits at 70% or higher and 30 credits at  60% or higher over the counting years.</t>
    </r>
  </si>
  <si>
    <t>Despite the temptation to round up, always round DOWN any calculated value (it avoids later disappointment) - so 66.60% becomes 66%</t>
  </si>
  <si>
    <t>Student A - marks</t>
  </si>
  <si>
    <t>Student B</t>
  </si>
  <si>
    <t>Discounting</t>
  </si>
  <si>
    <t>100      =</t>
  </si>
  <si>
    <t xml:space="preserve">Discounting involves ignoring some of the lowest marks. The affect of these discounts are generally easy to calculate when the discounts ‘match’ the programme credit structure e.g. discounting 20 or 40 credits in a programme with a 20 credit structure simply means ignoring the marks from one or two modules. Where the discounts do not match the structure, e.g. discounts of 20 or 40 in a programme based on 15 and 30 credits means the lowest module’s marks have to be split and apportioned accordingly (which gets tricky).   </t>
  </si>
  <si>
    <t>Student A</t>
  </si>
  <si>
    <t>Page 1</t>
  </si>
  <si>
    <t>Page 2</t>
  </si>
  <si>
    <t>C x M</t>
  </si>
  <si>
    <t>Ave</t>
  </si>
  <si>
    <t>Total Best 90</t>
  </si>
  <si>
    <t>Ave Best 90</t>
  </si>
  <si>
    <t>Discounting 30 credits</t>
  </si>
  <si>
    <t>Discounting 20 credits</t>
  </si>
  <si>
    <t>C'</t>
  </si>
  <si>
    <t>C' x M</t>
  </si>
  <si>
    <t>Tot Best 100</t>
  </si>
  <si>
    <t>Ave Best 100</t>
  </si>
  <si>
    <t>The process starts by ranking the marks - low to high, as shown below using the year 3 marks for student A and B. If 30 credits of the lowest marks is to be discounted we simply need to ignore the C x M value for module M13, add up the remaining C x M values and divide by 90 (i.e. 120 credits - 30 credits = 90 credits). this will give you the average of the best 90 credits in year 3. Type your answers for the new total and average for the best 90 credits in relevant green cells.</t>
  </si>
  <si>
    <t>Differential weighting</t>
  </si>
  <si>
    <t>In most academic regulations differential weighting is described in one of two ways:</t>
  </si>
  <si>
    <t>Compare your answer to that calculated by Coventry University above</t>
  </si>
  <si>
    <t>Student B - marks</t>
  </si>
  <si>
    <t>Degree mark</t>
  </si>
  <si>
    <t>mark</t>
  </si>
  <si>
    <t>weight</t>
  </si>
  <si>
    <t>Example using description 1- here the yearly averages are multiplied by the relevant proportion (e.g. 0.1, 0.3, or 0.6). The calculated values are then added up to get the degree mark. Below are the year two and three (undiscounted) marks for students A an B. Let's assume both students go to Derby university which weights Y2 and Y3; 20% and 80% respectively. Fill in the green cells to derive the degree marks for students A and B</t>
  </si>
  <si>
    <t>Example using description 2- here the yearly averages are multiplied by the relevant number 1 and 4. The calculated values are then added up and divided by the total of the weights i.e. in this case 5. as above, fill in the green cells to derive the degree mark</t>
  </si>
  <si>
    <t>EQUAL TO OR GREATER THAN 20</t>
  </si>
  <si>
    <t>EQUAL TO OR GREATER THAN 36</t>
  </si>
  <si>
    <t>THESE X NEED TO BE CONTROLLED</t>
  </si>
  <si>
    <t>Student A's marks could be described as 'inconsistent", not only within years, but between years. On the other hand Student B (below) has consistent marks, within and between years. Importantly, Student B's national degree mark and grade (63.21/B2), their average mark between year 2 and 3 (63.44), and their year one mark (62.75) are all the same as Student A's. Putting Student B's marks in to the simulator gives us the following top 3 and bottom 3 degree marks:</t>
  </si>
  <si>
    <r>
      <t xml:space="preserve">It might surprise you that both approaches result in the same degree marks, this is because 80% </t>
    </r>
    <r>
      <rPr>
        <sz val="11"/>
        <color theme="1"/>
        <rFont val="Calibri"/>
        <family val="2"/>
      </rPr>
      <t>÷ 20% = 4, that is to say 80 (the weighting for year 3) is four times greater than 20 (the weighting for year 2). Thus if Year 3 marks are 3 times greater than year 2, the respective percentage weightings would be 75% -25% (i.e.. 3 ÷</t>
    </r>
    <r>
      <rPr>
        <sz val="11"/>
        <color theme="1"/>
        <rFont val="Calibri"/>
        <family val="2"/>
        <scheme val="minor"/>
      </rPr>
      <t xml:space="preserve"> 4 = 0.75, 1 </t>
    </r>
    <r>
      <rPr>
        <sz val="11"/>
        <color theme="1"/>
        <rFont val="Calibri"/>
        <family val="2"/>
      </rPr>
      <t>÷ 4 = 0.25). The other important take away is that discounting and differential weighting do not greatly benefit students with consistent marks.</t>
    </r>
  </si>
  <si>
    <t>includes 4</t>
  </si>
  <si>
    <t>In this example the 30 credit modules make a bigger contribution to the annual mark. The procedure is the same: multiply the mark by the credit (or the weight). For each year add up the 6 values and divide by the total number of credits [i.e. 120]. Type X in the yellow square to reveal the values and yearly averages.</t>
  </si>
  <si>
    <r>
      <t xml:space="preserve">The simplest way to find the weighted average is to multiply the weight by the mark for each of the elements i.e. </t>
    </r>
    <r>
      <rPr>
        <b/>
        <sz val="11"/>
        <color rgb="FF0000CC"/>
        <rFont val="Calibri"/>
        <family val="2"/>
        <scheme val="minor"/>
      </rPr>
      <t>30</t>
    </r>
    <r>
      <rPr>
        <sz val="11"/>
        <color theme="1"/>
        <rFont val="Calibri"/>
        <family val="2"/>
        <scheme val="minor"/>
      </rPr>
      <t xml:space="preserve"> x </t>
    </r>
    <r>
      <rPr>
        <b/>
        <sz val="11"/>
        <color rgb="FFC00000"/>
        <rFont val="Calibri"/>
        <family val="2"/>
        <scheme val="minor"/>
      </rPr>
      <t>56</t>
    </r>
    <r>
      <rPr>
        <sz val="11"/>
        <color theme="1"/>
        <rFont val="Calibri"/>
        <family val="2"/>
        <scheme val="minor"/>
      </rPr>
      <t xml:space="preserve">, </t>
    </r>
    <r>
      <rPr>
        <b/>
        <sz val="11"/>
        <color rgb="FF0000CC"/>
        <rFont val="Calibri"/>
        <family val="2"/>
        <scheme val="minor"/>
      </rPr>
      <t>20</t>
    </r>
    <r>
      <rPr>
        <sz val="11"/>
        <color theme="1"/>
        <rFont val="Calibri"/>
        <family val="2"/>
        <scheme val="minor"/>
      </rPr>
      <t xml:space="preserve"> x </t>
    </r>
    <r>
      <rPr>
        <b/>
        <sz val="11"/>
        <color rgb="FFC00000"/>
        <rFont val="Calibri"/>
        <family val="2"/>
        <scheme val="minor"/>
      </rPr>
      <t>79</t>
    </r>
    <r>
      <rPr>
        <sz val="11"/>
        <color theme="1"/>
        <rFont val="Calibri"/>
        <family val="2"/>
        <scheme val="minor"/>
      </rPr>
      <t xml:space="preserve"> and </t>
    </r>
    <r>
      <rPr>
        <b/>
        <sz val="11"/>
        <color rgb="FF0000CC"/>
        <rFont val="Calibri"/>
        <family val="2"/>
        <scheme val="minor"/>
      </rPr>
      <t>50</t>
    </r>
    <r>
      <rPr>
        <sz val="11"/>
        <color theme="1"/>
        <rFont val="Calibri"/>
        <family val="2"/>
        <scheme val="minor"/>
      </rPr>
      <t xml:space="preserve"> x </t>
    </r>
    <r>
      <rPr>
        <b/>
        <sz val="11"/>
        <color rgb="FFC00000"/>
        <rFont val="Calibri"/>
        <family val="2"/>
        <scheme val="minor"/>
      </rPr>
      <t>68</t>
    </r>
    <r>
      <rPr>
        <sz val="11"/>
        <color theme="1"/>
        <rFont val="Calibri"/>
        <family val="2"/>
        <scheme val="minor"/>
      </rPr>
      <t xml:space="preserve">. You then add up the three calculated values and divide it by the total weights (i.e. in this case </t>
    </r>
    <r>
      <rPr>
        <b/>
        <sz val="11"/>
        <color rgb="FF0000CC"/>
        <rFont val="Calibri"/>
        <family val="2"/>
        <scheme val="minor"/>
      </rPr>
      <t>100</t>
    </r>
    <r>
      <rPr>
        <sz val="11"/>
        <color theme="1"/>
        <rFont val="Calibri"/>
        <family val="2"/>
        <scheme val="minor"/>
      </rPr>
      <t>). If you have tested yourself with the maths, type X in the yellow square to reveal the answers.</t>
    </r>
  </si>
  <si>
    <t>[i]</t>
  </si>
  <si>
    <t>[ii]</t>
  </si>
  <si>
    <r>
      <t xml:space="preserve">( [i]+[ii] ) </t>
    </r>
    <r>
      <rPr>
        <sz val="11"/>
        <color theme="1"/>
        <rFont val="Calibri"/>
        <family val="2"/>
      </rPr>
      <t>÷</t>
    </r>
    <r>
      <rPr>
        <sz val="8.25"/>
        <color theme="1"/>
        <rFont val="Calibri"/>
        <family val="2"/>
      </rPr>
      <t xml:space="preserve"> 5</t>
    </r>
  </si>
  <si>
    <t>Number in Alg</t>
  </si>
  <si>
    <t>Uni</t>
  </si>
  <si>
    <t>SPLIT</t>
  </si>
  <si>
    <t xml:space="preserve">Number of Awarding Unversities </t>
  </si>
  <si>
    <t>bp54</t>
  </si>
  <si>
    <t>% 1sts</t>
  </si>
  <si>
    <t>The range in Student B's degree marks is only 3.12 percentage points, which demonstrates that the current diversity in UK degree algorithms advantage students with inconsistent marks, while those with consistent mark are not advantaged. We might also wonder whether Student A's marks reflect what we might think of as the likely marks that make up a first [1st].</t>
  </si>
  <si>
    <t>STUDENT A (inconsistent marks)</t>
  </si>
  <si>
    <r>
      <t>While the national degree mark will always be lower than any mark using the current algorithms, its a lot easier to calculate and monitor as you progress in your studies (see tab- '</t>
    </r>
    <r>
      <rPr>
        <b/>
        <sz val="12"/>
        <color rgb="FF0000CC"/>
        <rFont val="Calibri"/>
        <family val="2"/>
        <scheme val="minor"/>
      </rPr>
      <t>Calculating marks</t>
    </r>
    <r>
      <rPr>
        <sz val="12"/>
        <color theme="1"/>
        <rFont val="Calibri"/>
        <family val="2"/>
        <scheme val="minor"/>
      </rPr>
      <t>'). If you look after your yearly averages, the degree classification and mark will look after itself.</t>
    </r>
  </si>
  <si>
    <r>
      <t>Before you use the simulator, its a good idea to look at the '</t>
    </r>
    <r>
      <rPr>
        <b/>
        <sz val="13"/>
        <color rgb="FF0000CC"/>
        <rFont val="Calibri"/>
        <family val="2"/>
        <scheme val="minor"/>
      </rPr>
      <t>Calculating marks</t>
    </r>
    <r>
      <rPr>
        <sz val="13"/>
        <color theme="1"/>
        <rFont val="Calibri"/>
        <family val="2"/>
        <scheme val="minor"/>
      </rPr>
      <t xml:space="preserve">' tab (if you haven't done so already), this will help you to understand how an algorithm uses discounting and differential weighting to arrive at a degree mark. </t>
    </r>
  </si>
  <si>
    <t>As a percentage:- Y1 = 10%, Y2 = 30% Y3 =  60% or when ignoring year 1, Y2 = 20% and Y3 = 80%. In all examples the percentages will add up to 100%.  As a proportion of one (1), these weightings would be written as 0.1, 0.3, and 0.6.</t>
  </si>
  <si>
    <r>
      <t xml:space="preserve">In the UK there are 170 institutions with degree awarding powers and each has their own algorithm. The table lists the algorithms of 127 such institutions. If your university is not in the list its either because each degree has its own algorithm, details were not available over the web or, the institution only offers postgraduate courses (see tab - </t>
    </r>
    <r>
      <rPr>
        <b/>
        <sz val="12"/>
        <color rgb="FF0000CC"/>
        <rFont val="Calibri"/>
        <family val="2"/>
        <scheme val="minor"/>
      </rPr>
      <t>Register</t>
    </r>
    <r>
      <rPr>
        <sz val="12"/>
        <color theme="1"/>
        <rFont val="Calibri"/>
        <family val="2"/>
        <scheme val="minor"/>
      </rPr>
      <t xml:space="preserve">)   </t>
    </r>
  </si>
  <si>
    <t>The table shows that UK universities use a wide range of algorithms (36), these are arranged first by which years are used in the calculation and then by which discount (or ignore) the lowest marks. The largest group [69 universities] uses years 2 and 3 and they do not discount marks, but there is a wide range weightings, ranging from 50/50 to 20/80 - year 2 and year 3 respectively.</t>
  </si>
  <si>
    <t>Student W</t>
  </si>
  <si>
    <t>STUDENT W (inconsistent marks - from a 2:2 to a 1st)</t>
  </si>
  <si>
    <t>Student Z 20 credit</t>
  </si>
  <si>
    <t>STUDENT Z (inconsistent marks - 20 credit structure)</t>
  </si>
  <si>
    <t>Y2/Y3 Average</t>
  </si>
  <si>
    <t>https://journals.gre.ac.uk/index.php/compass/article/view/136</t>
  </si>
  <si>
    <t>LINK</t>
  </si>
  <si>
    <t xml:space="preserve">Detractors of the National Degree Mark and Grade might make the claim that these examples (or any like them) are 'outliers' - they are very rare. The implication is that UK students generally perform in a consistent manner (like Student B). If so, comparisons across the sector of overall outcomes using the classifications (as opposed to degree marks) are reliable and valid. However, there are two problems with this argument: </t>
  </si>
  <si>
    <r>
      <t>All in all, this is not very fair as your final degree outcome might ultimately depend on which university you currently attend or attended (see tab: '</t>
    </r>
    <r>
      <rPr>
        <b/>
        <sz val="12"/>
        <color rgb="FF0000CC"/>
        <rFont val="Calibri"/>
        <family val="2"/>
        <scheme val="minor"/>
      </rPr>
      <t>Example marks'</t>
    </r>
    <r>
      <rPr>
        <sz val="12"/>
        <color theme="1"/>
        <rFont val="Calibri"/>
        <family val="2"/>
        <scheme val="minor"/>
      </rPr>
      <t>). In addition, the complexity of some of these algorithms makes it challenging for students to gauge how they are doing in their studies.</t>
    </r>
  </si>
  <si>
    <r>
      <t xml:space="preserve">The proposed National Degree Mark and Grade are not intended to replace the way universities currently calculate degree marks, nor replace the traditional classifications, rather Its purpose is to </t>
    </r>
    <r>
      <rPr>
        <b/>
        <u/>
        <sz val="11"/>
        <color theme="1"/>
        <rFont val="Calibri"/>
        <family val="2"/>
        <scheme val="minor"/>
      </rPr>
      <t>level up</t>
    </r>
    <r>
      <rPr>
        <sz val="11"/>
        <color theme="1"/>
        <rFont val="Calibri"/>
        <family val="2"/>
        <scheme val="minor"/>
      </rPr>
      <t xml:space="preserve"> the reporting of university students achievements in that the same calculation would apply to all UK graduates.</t>
    </r>
  </si>
  <si>
    <t xml:space="preserve">For universities, this proposal is cheap to implement, they have the data already, it only requires changes to the coding of existing data bases to collate, record and publish this data. Indeed, as an unadulterated average, this national degree mark would not require any changes to existing academic regulations – it is what it is. </t>
  </si>
  <si>
    <t>We can use Student A's marks above to demonstrate one of the problems with the variation in UK degree algorithms, namely: the same set of marks would receive a different classification depending on which university the student attended. Putting these marks in to the degree mark simulator (see tab: 'Example marks') we get the following degree marks.</t>
  </si>
  <si>
    <t>Discounting 20 credits will mean having to 'split' the credits of the module with the lowest marks (M13). That is to say - we use 10 credits and ignore the other 20 credits. Visually the two schedules would look like the ones below. Complete the schedule by filling in the correct answers in each of the green cells.</t>
  </si>
  <si>
    <t>As a whole number such that Y3 could have a weighting of 5, Y2 a weighting of 3 and, year 1 a weighting of 1, in this example the weights add up to 9. Alternatively, when year 1 is ignored, the regulations might simply state that Y3 is worth 4 times that of Y2  - which means Y2 is weighted at 1 such that the weights add up to 5 (4+1).</t>
  </si>
  <si>
    <t>These two pages are formatted for printing - but always check 'Page Break Preview' before printing</t>
  </si>
  <si>
    <r>
      <t>Student A and B are similar in three ways [i] they have the same average mark for their first year (</t>
    </r>
    <r>
      <rPr>
        <b/>
        <sz val="13"/>
        <color rgb="FFC00000"/>
        <rFont val="Calibri"/>
        <family val="2"/>
        <scheme val="minor"/>
      </rPr>
      <t>62.75%</t>
    </r>
    <r>
      <rPr>
        <b/>
        <sz val="13"/>
        <color theme="1"/>
        <rFont val="Calibri"/>
        <family val="2"/>
        <scheme val="minor"/>
      </rPr>
      <t>), [ii] the average of years 2 and 3 are the same (</t>
    </r>
    <r>
      <rPr>
        <b/>
        <sz val="13"/>
        <color rgb="FFC00000"/>
        <rFont val="Calibri"/>
        <family val="2"/>
        <scheme val="minor"/>
      </rPr>
      <t>63.44%</t>
    </r>
    <r>
      <rPr>
        <b/>
        <sz val="13"/>
        <color theme="1"/>
        <rFont val="Calibri"/>
        <family val="2"/>
        <scheme val="minor"/>
      </rPr>
      <t xml:space="preserve">), and their overall average, or national degree mark is the same </t>
    </r>
    <r>
      <rPr>
        <b/>
        <sz val="13"/>
        <color rgb="FFC00000"/>
        <rFont val="Calibri"/>
        <family val="2"/>
        <scheme val="minor"/>
      </rPr>
      <t>63.21%</t>
    </r>
    <r>
      <rPr>
        <b/>
        <sz val="13"/>
        <color theme="1"/>
        <rFont val="Calibri"/>
        <family val="2"/>
        <scheme val="minor"/>
      </rPr>
      <t>. Despite this, depending on which university they go to Student A could get a 1st. Indeed, based on their marks, 28 universities in this sample would award Student A a 1st. This result holds true for 20 and 15 credit degree structures where the three averages (Y1, Y2/Y3, and, Y1/Y2/Y3) the same. Below student A and B's marks are two other set of marks for Student Z and Student W.  As student Z's marks show, a change in credit structure and a small change in the 3 averages makes a big difference in the overall outcomes - here 40 universities would award Student Z a 1st. In the case of Student W (who has a national degree mark of 55.04%) they could receive three possible degree classes, from a 2:2 to a 1st, where the range in possible degree marks is 17.3 percentage points.</t>
    </r>
  </si>
  <si>
    <r>
      <t xml:space="preserve">The principle purpose of discounting and differential weighting is to negate the potential impact inconsistent marks can have on a degree mark and classification. Put another way: universities know student marks are 'more often than not' inconsistent. The higher weighting on year 3 marks is also said to capture the student’s ‘exit velocity’ (the tendency for year three marks to be higher than year two marks - see link). However, this wide-spread phenomenon would improve any degree mark irrespective of the algorithm used, so why place a greater weighting on year three marks in the first place.  In this regard, its worth noting that only 8 universities (see algorithm No.8 - </t>
    </r>
    <r>
      <rPr>
        <b/>
        <sz val="13"/>
        <color rgb="FF0000CC"/>
        <rFont val="Calibri"/>
        <family val="2"/>
        <scheme val="minor"/>
      </rPr>
      <t>'Introduction'</t>
    </r>
    <r>
      <rPr>
        <b/>
        <sz val="13"/>
        <color theme="1"/>
        <rFont val="Calibri"/>
        <family val="2"/>
        <scheme val="minor"/>
      </rPr>
      <t xml:space="preserve">) out of the 127 listed here do not use discounting or differential weighting (although they ignore year 1 marks).
</t>
    </r>
  </si>
  <si>
    <t>In this worksheet you are asked to do some very simple calculations - which hopefully will help you to better understand how all your marks (module and degree) are calculated.</t>
  </si>
  <si>
    <t>2nd</t>
  </si>
  <si>
    <t>6th</t>
  </si>
  <si>
    <t>4th</t>
  </si>
  <si>
    <t>16th</t>
  </si>
  <si>
    <t>10th</t>
  </si>
  <si>
    <t>5th</t>
  </si>
  <si>
    <t>9th</t>
  </si>
  <si>
    <t>11th</t>
  </si>
  <si>
    <t>21st</t>
  </si>
  <si>
    <t>29th</t>
  </si>
  <si>
    <t>14th</t>
  </si>
  <si>
    <t>25th</t>
  </si>
  <si>
    <t>13th</t>
  </si>
  <si>
    <t>23rd</t>
  </si>
  <si>
    <t>20th</t>
  </si>
  <si>
    <t>18th</t>
  </si>
  <si>
    <t>34th</t>
  </si>
  <si>
    <t>19th</t>
  </si>
  <si>
    <t>37th</t>
  </si>
  <si>
    <t>8th</t>
  </si>
  <si>
    <t>39th</t>
  </si>
  <si>
    <t>26th</t>
  </si>
  <si>
    <t>41st</t>
  </si>
  <si>
    <t>15th</t>
  </si>
  <si>
    <t>72nd</t>
  </si>
  <si>
    <t>44th</t>
  </si>
  <si>
    <t>40th</t>
  </si>
  <si>
    <t>33rd</t>
  </si>
  <si>
    <t>22nd</t>
  </si>
  <si>
    <t>28th</t>
  </si>
  <si>
    <t>30th</t>
  </si>
  <si>
    <t>47th</t>
  </si>
  <si>
    <t>63rd</t>
  </si>
  <si>
    <t>77th</t>
  </si>
  <si>
    <t>94th</t>
  </si>
  <si>
    <t xml:space="preserve">n/a </t>
  </si>
  <si>
    <t>35th</t>
  </si>
  <si>
    <t>112th</t>
  </si>
  <si>
    <t>49th</t>
  </si>
  <si>
    <t>68th</t>
  </si>
  <si>
    <t>31st</t>
  </si>
  <si>
    <t>7th</t>
  </si>
  <si>
    <t>50th</t>
  </si>
  <si>
    <t>127th</t>
  </si>
  <si>
    <t>83rd</t>
  </si>
  <si>
    <t>70th</t>
  </si>
  <si>
    <t>106th</t>
  </si>
  <si>
    <t>43rd</t>
  </si>
  <si>
    <t>53rd</t>
  </si>
  <si>
    <t>58th</t>
  </si>
  <si>
    <t>51st</t>
  </si>
  <si>
    <t>86th</t>
  </si>
  <si>
    <t>69th</t>
  </si>
  <si>
    <t>32nd</t>
  </si>
  <si>
    <t>55th</t>
  </si>
  <si>
    <t>97th</t>
  </si>
  <si>
    <t>67th</t>
  </si>
  <si>
    <t>42nd</t>
  </si>
  <si>
    <t>48th</t>
  </si>
  <si>
    <t>73rd</t>
  </si>
  <si>
    <t>64th</t>
  </si>
  <si>
    <t>27th</t>
  </si>
  <si>
    <t>38th</t>
  </si>
  <si>
    <t>90th</t>
  </si>
  <si>
    <t>52nd</t>
  </si>
  <si>
    <t>118th</t>
  </si>
  <si>
    <t>66th</t>
  </si>
  <si>
    <t>80th</t>
  </si>
  <si>
    <t>56th</t>
  </si>
  <si>
    <t>88th</t>
  </si>
  <si>
    <t>57th</t>
  </si>
  <si>
    <t>102nd</t>
  </si>
  <si>
    <t>93rd</t>
  </si>
  <si>
    <t>114th</t>
  </si>
  <si>
    <t>75th</t>
  </si>
  <si>
    <t>76th</t>
  </si>
  <si>
    <t>91st</t>
  </si>
  <si>
    <t>105th</t>
  </si>
  <si>
    <t>61st</t>
  </si>
  <si>
    <t>99th</t>
  </si>
  <si>
    <t>104th</t>
  </si>
  <si>
    <t>92nd</t>
  </si>
  <si>
    <t>81st</t>
  </si>
  <si>
    <t>130th</t>
  </si>
  <si>
    <t>121st</t>
  </si>
  <si>
    <t>85th</t>
  </si>
  <si>
    <t>107th</t>
  </si>
  <si>
    <t>101st</t>
  </si>
  <si>
    <t>87th</t>
  </si>
  <si>
    <t>71st</t>
  </si>
  <si>
    <t>119th</t>
  </si>
  <si>
    <t>117th</t>
  </si>
  <si>
    <t>111th</t>
  </si>
  <si>
    <t>116th</t>
  </si>
  <si>
    <t>110th</t>
  </si>
  <si>
    <t>100th</t>
  </si>
  <si>
    <t>62nd</t>
  </si>
  <si>
    <t>120th</t>
  </si>
  <si>
    <t>96th</t>
  </si>
  <si>
    <t>113th</t>
  </si>
  <si>
    <t>89th</t>
  </si>
  <si>
    <t>109th</t>
  </si>
  <si>
    <t>129th</t>
  </si>
  <si>
    <t>124th</t>
  </si>
  <si>
    <t>65th</t>
  </si>
  <si>
    <t>103rd</t>
  </si>
  <si>
    <t>74th</t>
  </si>
  <si>
    <t>122nd</t>
  </si>
  <si>
    <t>131st</t>
  </si>
  <si>
    <t>123rd</t>
  </si>
  <si>
    <t>125th</t>
  </si>
  <si>
    <t>126th</t>
  </si>
  <si>
    <t>128th</t>
  </si>
  <si>
    <t>115th</t>
  </si>
  <si>
    <t>Buckinghamshire New</t>
  </si>
  <si>
    <t>GH</t>
  </si>
  <si>
    <t>ENTRY</t>
  </si>
  <si>
    <t>STUDENT SAT</t>
  </si>
  <si>
    <t>RQ</t>
  </si>
  <si>
    <t>Grad Pros</t>
  </si>
  <si>
    <t>Score</t>
  </si>
  <si>
    <t>PS</t>
  </si>
  <si>
    <t>N/A</t>
  </si>
  <si>
    <t>gh</t>
  </si>
  <si>
    <t>alg</t>
  </si>
  <si>
    <r>
      <t xml:space="preserve">The total of the best 90 credits is 5,865 </t>
    </r>
    <r>
      <rPr>
        <sz val="11"/>
        <color theme="1"/>
        <rFont val="Calibri"/>
        <family val="2"/>
      </rPr>
      <t>÷ 90 gives aan average mark of 65.16</t>
    </r>
  </si>
  <si>
    <r>
      <t xml:space="preserve">The total of the best 90 credits is 6,705 </t>
    </r>
    <r>
      <rPr>
        <sz val="11"/>
        <color theme="1"/>
        <rFont val="Calibri"/>
        <family val="2"/>
      </rPr>
      <t>÷ 90 gives an average mark of 74.50</t>
    </r>
  </si>
  <si>
    <t>https://www.thecompleteuniversityguide.co.uk/league-tables/rankings?sortby=good-honours</t>
  </si>
  <si>
    <t>n/a</t>
  </si>
  <si>
    <t>row H = 20</t>
  </si>
  <si>
    <t>LEEDS BECKET</t>
  </si>
  <si>
    <t>Leeds Becket</t>
  </si>
  <si>
    <t>ave</t>
  </si>
  <si>
    <t>media</t>
  </si>
  <si>
    <t xml:space="preserve">“The degree classification for the 360 credit honours degree is based upon the best marks achieved for 100 credits at level 3 and the next best marks achieved for 100 credits at level 2 or above (including any remaining level 3 marks). Marks achieved for the best 100 level 3 credits are weighted three times the value of the marks for the 100 credits at level 2 (or any remaining at level 3). Where the credit size of a module which is counted towards the 100 credit set of best marks would give a credit total greater than 100, only the relevant portion of credit needed to complete the 100 credit total is counted. The unused credit may be counted towards the second 100 credit set of best marks.”
changed to-
UWE Bristol Academic Regulations 2019/202031Part 
N:Calculating awardoutcomesThe University has approved methodsfor the calculation of award outcomes.
N1. Calculation of undergraduate awardoutcomesThe honours degree classification is calculated in two stages:
i.the best marks achieved for 100 credits at level 3 (FHEQ level 6) and,
ii.the best marks achieved for 100 credits at level 2 (FHEQ level 5) or above. 
Level 3 (FHEQ level 6) marks not used in (i) may be included in (ii)where they are better than any achieved at level 2(FHEQ level 5).Marks used in (i) are weighted three times the value of the marks used in (ii). </t>
  </si>
  <si>
    <t>% Good Honours [2019]</t>
  </si>
  <si>
    <t>DEGREE MARK</t>
  </si>
  <si>
    <t>LINKED</t>
  </si>
  <si>
    <t>n = 122</t>
  </si>
  <si>
    <r>
      <t>This calculator enables you to compare your actual or likely degree outcome across 41 different algorithms used by 122 universities (i.e. the simulator excludes universities that use profiling -see tab: '</t>
    </r>
    <r>
      <rPr>
        <b/>
        <sz val="13"/>
        <color rgb="FF0000CC"/>
        <rFont val="Calibri"/>
        <family val="2"/>
        <scheme val="minor"/>
      </rPr>
      <t>Introduction'</t>
    </r>
    <r>
      <rPr>
        <sz val="13"/>
        <color theme="1"/>
        <rFont val="Calibri"/>
        <family val="2"/>
        <scheme val="minor"/>
      </rPr>
      <t>). The initial mark is a proposed '</t>
    </r>
    <r>
      <rPr>
        <b/>
        <u/>
        <sz val="13"/>
        <color rgb="FFC00000"/>
        <rFont val="Calibri"/>
        <family val="2"/>
        <scheme val="minor"/>
      </rPr>
      <t>National Degree Mark</t>
    </r>
    <r>
      <rPr>
        <sz val="13"/>
        <color theme="1"/>
        <rFont val="Calibri"/>
        <family val="2"/>
        <scheme val="minor"/>
      </rPr>
      <t xml:space="preserve">', which is the weighted average of all module marks across all years of study. The </t>
    </r>
    <r>
      <rPr>
        <b/>
        <u/>
        <sz val="13"/>
        <color rgb="FFC00000"/>
        <rFont val="Calibri"/>
        <family val="2"/>
        <scheme val="minor"/>
      </rPr>
      <t>National Degree Grades</t>
    </r>
    <r>
      <rPr>
        <sz val="13"/>
        <color theme="1"/>
        <rFont val="Calibri"/>
        <family val="2"/>
        <scheme val="minor"/>
      </rPr>
      <t xml:space="preserve"> (D1 to A*4) complement the current classifications (3rd to a 1st). See tab </t>
    </r>
    <r>
      <rPr>
        <b/>
        <sz val="13"/>
        <color rgb="FF0000CC"/>
        <rFont val="Calibri"/>
        <family val="2"/>
        <scheme val="minor"/>
      </rPr>
      <t>Register</t>
    </r>
    <r>
      <rPr>
        <sz val="13"/>
        <color theme="1"/>
        <rFont val="Calibri"/>
        <family val="2"/>
        <scheme val="minor"/>
      </rPr>
      <t xml:space="preserve"> for the full set of degree marks for these 122 universities.</t>
    </r>
  </si>
  <si>
    <t>Without a data on the national degree mark and the yearly averages, we cannot know the extent to which all UK students marks are inconsistent (accepting that there was a consensus on what 'consistent' meant). If such data showed that a high proportion of UK students (say 20%+) had consistent marks then we can be certain that the current arrangements are very unfair. If on the other hand the data showed that nearly all student marks are inconsistent there would be a strong case to oblige universities to adopt the same algorithm - which would be a long-winded and costly exercise. This makes to adoption of a national degree mark the more attractive option.</t>
  </si>
  <si>
    <t>STUDENT B (consistent marks, mid-range)</t>
  </si>
  <si>
    <t>STUDENT Y (consistent marks - 20 credit)</t>
  </si>
  <si>
    <t>STUDENT X (inconsistent marks - 20 credit)</t>
  </si>
  <si>
    <t>Differences in degree outcomes from different algorithms: Example marks from Students, A, B, Z and W</t>
  </si>
  <si>
    <t>Degree Marks Students X and Y</t>
  </si>
  <si>
    <t>Years 1, 2, and 3</t>
  </si>
  <si>
    <t>X</t>
  </si>
  <si>
    <t>Years 2 and 3</t>
  </si>
  <si>
    <t>Year 3 only</t>
  </si>
  <si>
    <t>Range in degree marks</t>
  </si>
  <si>
    <t>TABLE 1 - DEGREE MARKS FROM A SELECTION OF 14 UK UNIVERSITY ALGORITHIMS</t>
  </si>
  <si>
    <t>STUDENT X (inconsistent marks - 20 credit) - ORIGINAL</t>
  </si>
  <si>
    <t>STUDENT Y (consistent marks, mid-range)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</si>
</sst>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0"/>
    <numFmt numFmtId="166" formatCode="0.000"/>
    <numFmt numFmtId="167" formatCode="0.0"/>
  </numFmts>
  <fonts count="96" x14ac:knownFonts="1">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b/>
      <sz val="9"/>
      <color theme="1"/>
      <name val="Calibri"/>
      <family val="2"/>
      <scheme val="minor"/>
    </font>
    <font>
      <b/>
      <sz val="8"/>
      <color theme="1"/>
      <name val="Calibri"/>
      <family val="2"/>
      <scheme val="minor"/>
    </font>
    <font>
      <b/>
      <sz val="11"/>
      <color rgb="FFFF0000"/>
      <name val="Calibri"/>
      <family val="2"/>
      <scheme val="minor"/>
    </font>
    <font>
      <b/>
      <sz val="11"/>
      <color rgb="FFC00000"/>
      <name val="Calibri"/>
      <family val="2"/>
      <scheme val="minor"/>
    </font>
    <font>
      <sz val="11"/>
      <name val="Calibri"/>
      <family val="2"/>
      <scheme val="minor"/>
    </font>
    <font>
      <u/>
      <sz val="11"/>
      <color theme="10"/>
      <name val="Calibri"/>
      <family val="2"/>
    </font>
    <font>
      <b/>
      <sz val="11"/>
      <name val="Calibri"/>
      <family val="2"/>
      <scheme val="minor"/>
    </font>
    <font>
      <b/>
      <sz val="12"/>
      <color rgb="FF0000CC"/>
      <name val="Calibri"/>
      <family val="2"/>
      <scheme val="minor"/>
    </font>
    <font>
      <b/>
      <sz val="11"/>
      <color theme="1"/>
      <name val="Wingdings 2"/>
      <family val="1"/>
      <charset val="2"/>
    </font>
    <font>
      <sz val="11"/>
      <color theme="1"/>
      <name val="Wingdings 2"/>
      <family val="1"/>
      <charset val="2"/>
    </font>
    <font>
      <b/>
      <sz val="11"/>
      <color theme="2" tint="-0.749992370372631"/>
      <name val="Calibri"/>
      <family val="2"/>
      <scheme val="minor"/>
    </font>
    <font>
      <b/>
      <sz val="11"/>
      <color theme="2" tint="-0.749992370372631"/>
      <name val="Wingdings 2"/>
      <family val="1"/>
      <charset val="2"/>
    </font>
    <font>
      <sz val="12"/>
      <color theme="1"/>
      <name val="Calibri"/>
      <family val="2"/>
      <scheme val="minor"/>
    </font>
    <font>
      <u/>
      <sz val="11"/>
      <color theme="1"/>
      <name val="Calibri"/>
      <family val="2"/>
      <scheme val="minor"/>
    </font>
    <font>
      <sz val="11"/>
      <color theme="1"/>
      <name val="Times New Roman"/>
      <family val="1"/>
    </font>
    <font>
      <sz val="11"/>
      <color rgb="FF000000"/>
      <name val="Calibri"/>
      <family val="2"/>
      <scheme val="minor"/>
    </font>
    <font>
      <b/>
      <sz val="11"/>
      <color rgb="FF0000CC"/>
      <name val="Calibri"/>
      <family val="2"/>
      <scheme val="minor"/>
    </font>
    <font>
      <b/>
      <sz val="12"/>
      <color theme="1"/>
      <name val="Calibri"/>
      <family val="2"/>
      <scheme val="minor"/>
    </font>
    <font>
      <b/>
      <sz val="12"/>
      <name val="Calibri"/>
      <family val="2"/>
      <scheme val="minor"/>
    </font>
    <font>
      <b/>
      <sz val="12"/>
      <name val="Wingdings 2"/>
      <family val="1"/>
      <charset val="2"/>
    </font>
    <font>
      <b/>
      <sz val="11"/>
      <name val="Wingdings 2"/>
      <family val="1"/>
      <charset val="2"/>
    </font>
    <font>
      <b/>
      <sz val="12"/>
      <color theme="0"/>
      <name val="Calibri"/>
      <family val="2"/>
      <scheme val="minor"/>
    </font>
    <font>
      <sz val="9"/>
      <color indexed="81"/>
      <name val="Tahoma"/>
      <family val="2"/>
    </font>
    <font>
      <b/>
      <sz val="9"/>
      <color indexed="81"/>
      <name val="Tahoma"/>
      <family val="2"/>
    </font>
    <font>
      <u/>
      <sz val="11"/>
      <color theme="10"/>
      <name val="Calibri"/>
      <family val="2"/>
      <scheme val="minor"/>
    </font>
    <font>
      <sz val="11"/>
      <color theme="1"/>
      <name val="Calibri"/>
      <family val="2"/>
      <scheme val="minor"/>
    </font>
    <font>
      <u/>
      <sz val="11"/>
      <name val="Calibri"/>
      <family val="2"/>
      <scheme val="minor"/>
    </font>
    <font>
      <sz val="11"/>
      <color theme="10"/>
      <name val="Calibri"/>
      <family val="2"/>
      <scheme val="minor"/>
    </font>
    <font>
      <sz val="11"/>
      <color theme="0"/>
      <name val="Calibri"/>
      <family val="2"/>
      <scheme val="minor"/>
    </font>
    <font>
      <b/>
      <sz val="12"/>
      <color rgb="FFC00000"/>
      <name val="Calibri"/>
      <family val="2"/>
      <scheme val="minor"/>
    </font>
    <font>
      <b/>
      <sz val="14"/>
      <color rgb="FFC00000"/>
      <name val="Calibri"/>
      <family val="2"/>
      <scheme val="minor"/>
    </font>
    <font>
      <vertAlign val="superscript"/>
      <sz val="14"/>
      <name val="Calibri"/>
      <family val="2"/>
      <scheme val="minor"/>
    </font>
    <font>
      <b/>
      <sz val="14"/>
      <color theme="2" tint="-0.749992370372631"/>
      <name val="Calibri"/>
      <family val="2"/>
      <scheme val="minor"/>
    </font>
    <font>
      <b/>
      <sz val="13"/>
      <color rgb="FFC00000"/>
      <name val="Calibri"/>
      <family val="2"/>
      <scheme val="minor"/>
    </font>
    <font>
      <sz val="12"/>
      <color theme="0"/>
      <name val="Calibri"/>
      <family val="2"/>
      <scheme val="minor"/>
    </font>
    <font>
      <sz val="13"/>
      <color theme="1"/>
      <name val="Calibri"/>
      <family val="2"/>
      <scheme val="minor"/>
    </font>
    <font>
      <b/>
      <sz val="13"/>
      <color theme="1"/>
      <name val="Calibri"/>
      <family val="2"/>
      <scheme val="minor"/>
    </font>
    <font>
      <b/>
      <sz val="13"/>
      <color rgb="FF0000CC"/>
      <name val="Calibri"/>
      <family val="2"/>
      <scheme val="minor"/>
    </font>
    <font>
      <sz val="13"/>
      <color rgb="FFFF0000"/>
      <name val="Calibri"/>
      <family val="2"/>
      <scheme val="minor"/>
    </font>
    <font>
      <b/>
      <sz val="13"/>
      <color rgb="FFFF0000"/>
      <name val="Calibri"/>
      <family val="2"/>
      <scheme val="minor"/>
    </font>
    <font>
      <sz val="12"/>
      <color theme="1"/>
      <name val="Symbol"/>
      <family val="1"/>
      <charset val="2"/>
    </font>
    <font>
      <b/>
      <u/>
      <sz val="12"/>
      <color theme="10"/>
      <name val="Calibri"/>
      <family val="2"/>
    </font>
    <font>
      <b/>
      <sz val="14"/>
      <color theme="0"/>
      <name val="Calibri"/>
      <family val="2"/>
      <scheme val="minor"/>
    </font>
    <font>
      <b/>
      <sz val="8"/>
      <color rgb="FFC00000"/>
      <name val="Calibri"/>
      <family val="2"/>
      <scheme val="minor"/>
    </font>
    <font>
      <sz val="12"/>
      <color rgb="FF000000"/>
      <name val="Gill Sans MT"/>
      <family val="2"/>
    </font>
    <font>
      <b/>
      <sz val="12"/>
      <color rgb="FF000000"/>
      <name val="Calibri"/>
      <family val="2"/>
      <scheme val="minor"/>
    </font>
    <font>
      <sz val="12"/>
      <color rgb="FF000000"/>
      <name val="Calibri"/>
      <family val="2"/>
      <scheme val="minor"/>
    </font>
    <font>
      <b/>
      <sz val="9"/>
      <color rgb="FFC00000"/>
      <name val="Calibri"/>
      <family val="2"/>
      <scheme val="minor"/>
    </font>
    <font>
      <b/>
      <sz val="12"/>
      <color rgb="FFFF0000"/>
      <name val="Calibri"/>
      <family val="2"/>
      <scheme val="minor"/>
    </font>
    <font>
      <b/>
      <sz val="12"/>
      <color theme="9" tint="-0.499984740745262"/>
      <name val="Calibri"/>
      <family val="2"/>
      <scheme val="minor"/>
    </font>
    <font>
      <b/>
      <sz val="12"/>
      <color rgb="FF00B050"/>
      <name val="Calibri"/>
      <family val="2"/>
      <scheme val="minor"/>
    </font>
    <font>
      <b/>
      <sz val="12"/>
      <color theme="4" tint="-0.249977111117893"/>
      <name val="Calibri"/>
      <family val="2"/>
      <scheme val="minor"/>
    </font>
    <font>
      <b/>
      <i/>
      <sz val="11"/>
      <color theme="1"/>
      <name val="Calibri"/>
      <family val="2"/>
      <scheme val="minor"/>
    </font>
    <font>
      <i/>
      <sz val="12"/>
      <color theme="1"/>
      <name val="Calibri"/>
      <family val="2"/>
      <scheme val="minor"/>
    </font>
    <font>
      <b/>
      <sz val="14"/>
      <color rgb="FFC00000"/>
      <name val="Wingdings 2"/>
      <family val="1"/>
      <charset val="2"/>
    </font>
    <font>
      <b/>
      <sz val="11"/>
      <color theme="5" tint="-0.249977111117893"/>
      <name val="Calibri"/>
      <family val="2"/>
      <scheme val="minor"/>
    </font>
    <font>
      <b/>
      <sz val="12"/>
      <color rgb="FFC00000"/>
      <name val="Wingdings 2"/>
      <family val="1"/>
      <charset val="2"/>
    </font>
    <font>
      <sz val="8"/>
      <color theme="1"/>
      <name val="Calibri"/>
      <family val="2"/>
      <scheme val="minor"/>
    </font>
    <font>
      <b/>
      <sz val="16"/>
      <color theme="0"/>
      <name val="Calibri"/>
      <family val="2"/>
      <scheme val="minor"/>
    </font>
    <font>
      <sz val="14"/>
      <color theme="1"/>
      <name val="Calibri"/>
      <family val="2"/>
      <scheme val="minor"/>
    </font>
    <font>
      <b/>
      <i/>
      <sz val="12"/>
      <color rgb="FFC00000"/>
      <name val="Calibri"/>
      <family val="2"/>
      <scheme val="minor"/>
    </font>
    <font>
      <sz val="9"/>
      <color theme="1"/>
      <name val="Calibri"/>
      <family val="2"/>
      <scheme val="minor"/>
    </font>
    <font>
      <b/>
      <sz val="14"/>
      <color rgb="FF000000"/>
      <name val="Calibri"/>
      <family val="2"/>
      <scheme val="minor"/>
    </font>
    <font>
      <b/>
      <sz val="12"/>
      <color theme="3"/>
      <name val="Calibri"/>
      <family val="2"/>
      <scheme val="minor"/>
    </font>
    <font>
      <sz val="12"/>
      <color rgb="FFFF0000"/>
      <name val="Calibri"/>
      <family val="2"/>
      <scheme val="minor"/>
    </font>
    <font>
      <b/>
      <sz val="11"/>
      <color rgb="FF0070C0"/>
      <name val="Calibri"/>
      <family val="2"/>
      <scheme val="minor"/>
    </font>
    <font>
      <b/>
      <sz val="12.25"/>
      <color rgb="FF0000CC"/>
      <name val="Calibri"/>
      <family val="2"/>
      <scheme val="minor"/>
    </font>
    <font>
      <sz val="12.25"/>
      <color theme="1"/>
      <name val="Calibri"/>
      <family val="2"/>
      <scheme val="minor"/>
    </font>
    <font>
      <sz val="12"/>
      <name val="Calibri"/>
      <family val="2"/>
      <scheme val="minor"/>
    </font>
    <font>
      <vertAlign val="superscript"/>
      <sz val="12"/>
      <name val="Calibri"/>
      <family val="2"/>
      <scheme val="minor"/>
    </font>
    <font>
      <b/>
      <sz val="13"/>
      <name val="Calibri"/>
      <family val="2"/>
      <scheme val="minor"/>
    </font>
    <font>
      <b/>
      <sz val="8"/>
      <color rgb="FF0000CC"/>
      <name val="Calibri"/>
      <family val="2"/>
      <scheme val="minor"/>
    </font>
    <font>
      <b/>
      <u/>
      <sz val="11"/>
      <color theme="1"/>
      <name val="Calibri"/>
      <family val="2"/>
      <scheme val="minor"/>
    </font>
    <font>
      <sz val="11"/>
      <color theme="1"/>
      <name val="Calibri"/>
      <family val="2"/>
    </font>
    <font>
      <sz val="11"/>
      <color rgb="FFC00000"/>
      <name val="Calibri"/>
      <family val="2"/>
      <scheme val="minor"/>
    </font>
    <font>
      <i/>
      <sz val="11"/>
      <color theme="1"/>
      <name val="Calibri"/>
      <family val="2"/>
      <scheme val="minor"/>
    </font>
    <font>
      <sz val="11"/>
      <color theme="8" tint="-0.499984740745262"/>
      <name val="Calibri"/>
      <family val="2"/>
      <scheme val="minor"/>
    </font>
    <font>
      <sz val="11"/>
      <color theme="1"/>
      <name val="Wingdings 3"/>
      <family val="1"/>
      <charset val="2"/>
    </font>
    <font>
      <sz val="11"/>
      <color theme="9" tint="-0.249977111117893"/>
      <name val="Calibri"/>
      <family val="2"/>
      <scheme val="minor"/>
    </font>
    <font>
      <sz val="11"/>
      <color rgb="FF0000CC"/>
      <name val="Calibri"/>
      <family val="2"/>
      <scheme val="minor"/>
    </font>
    <font>
      <strike/>
      <sz val="11"/>
      <color rgb="FF0000CC"/>
      <name val="Calibri"/>
      <family val="2"/>
      <scheme val="minor"/>
    </font>
    <font>
      <sz val="8.25"/>
      <color theme="1"/>
      <name val="Calibri"/>
      <family val="2"/>
    </font>
    <font>
      <sz val="11"/>
      <color rgb="FFFF0000"/>
      <name val="Calibri"/>
      <family val="2"/>
      <scheme val="minor"/>
    </font>
    <font>
      <b/>
      <sz val="9"/>
      <color indexed="81"/>
      <name val="Wingdings 2"/>
      <family val="1"/>
      <charset val="2"/>
    </font>
    <font>
      <b/>
      <sz val="12"/>
      <color theme="2" tint="-0.749992370372631"/>
      <name val="Calibri"/>
      <family val="2"/>
      <scheme val="minor"/>
    </font>
    <font>
      <b/>
      <sz val="14"/>
      <color rgb="FF0000CC"/>
      <name val="Calibri"/>
      <family val="2"/>
      <scheme val="minor"/>
    </font>
    <font>
      <sz val="12"/>
      <color rgb="FF0000CC"/>
      <name val="Calibri"/>
      <family val="2"/>
      <scheme val="minor"/>
    </font>
    <font>
      <b/>
      <u/>
      <sz val="13"/>
      <color rgb="FF00B050"/>
      <name val="Calibri"/>
      <family val="2"/>
    </font>
    <font>
      <b/>
      <u/>
      <sz val="13"/>
      <color rgb="FFC00000"/>
      <name val="Calibri"/>
      <family val="2"/>
      <scheme val="minor"/>
    </font>
    <font>
      <u/>
      <sz val="11"/>
      <color rgb="FF00B050"/>
      <name val="Calibri"/>
      <family val="2"/>
    </font>
    <font>
      <b/>
      <sz val="11"/>
      <color rgb="FF002060"/>
      <name val="Calibri"/>
      <family val="2"/>
      <scheme val="minor"/>
    </font>
  </fonts>
  <fills count="42">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rgb="FFFFFF99"/>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8" tint="-0.499984740745262"/>
        <bgColor indexed="64"/>
      </patternFill>
    </fill>
    <fill>
      <patternFill patternType="solid">
        <fgColor theme="6" tint="0.5999938962981048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7" tint="-0.249977111117893"/>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8" tint="-0.249977111117893"/>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1"/>
        <bgColor indexed="64"/>
      </patternFill>
    </fill>
    <fill>
      <patternFill patternType="solid">
        <fgColor theme="6" tint="-0.499984740745262"/>
        <bgColor indexed="64"/>
      </patternFill>
    </fill>
    <fill>
      <patternFill patternType="solid">
        <fgColor theme="9" tint="-0.249977111117893"/>
        <bgColor indexed="64"/>
      </patternFill>
    </fill>
    <fill>
      <patternFill patternType="solid">
        <fgColor theme="7" tint="0.79998168889431442"/>
        <bgColor indexed="64"/>
      </patternFill>
    </fill>
    <fill>
      <patternFill patternType="solid">
        <fgColor rgb="FF92D050"/>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rgb="FF002060"/>
        <bgColor indexed="64"/>
      </patternFill>
    </fill>
    <fill>
      <patternFill patternType="solid">
        <fgColor theme="3"/>
        <bgColor indexed="64"/>
      </patternFill>
    </fill>
    <fill>
      <patternFill patternType="solid">
        <fgColor theme="5" tint="0.59999389629810485"/>
        <bgColor indexed="64"/>
      </patternFill>
    </fill>
    <fill>
      <patternFill patternType="solid">
        <fgColor rgb="FFFF0000"/>
        <bgColor indexed="64"/>
      </patternFill>
    </fill>
    <fill>
      <patternFill patternType="solid">
        <fgColor rgb="FF00B0F0"/>
        <bgColor indexed="64"/>
      </patternFill>
    </fill>
    <fill>
      <patternFill patternType="solid">
        <fgColor rgb="FF0000CC"/>
        <bgColor indexed="64"/>
      </patternFill>
    </fill>
    <fill>
      <patternFill patternType="solid">
        <fgColor theme="6"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B050"/>
        <bgColor indexed="64"/>
      </patternFill>
    </fill>
    <fill>
      <patternFill patternType="solid">
        <fgColor theme="6" tint="0.79998168889431442"/>
        <bgColor indexed="64"/>
      </patternFill>
    </fill>
  </fills>
  <borders count="3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right/>
      <top style="double">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0" fillId="0" borderId="0" applyNumberFormat="0" applyFill="0" applyBorder="0" applyAlignment="0" applyProtection="0">
      <alignment vertical="top"/>
      <protection locked="0"/>
    </xf>
    <xf numFmtId="0" fontId="29" fillId="0" borderId="0" applyNumberFormat="0" applyFill="0" applyBorder="0" applyAlignment="0" applyProtection="0"/>
  </cellStyleXfs>
  <cellXfs count="1579">
    <xf numFmtId="0" fontId="0" fillId="0" borderId="0" xfId="0"/>
    <xf numFmtId="0" fontId="0" fillId="0" borderId="0" xfId="0" applyAlignment="1">
      <alignment horizontal="center" vertical="center"/>
    </xf>
    <xf numFmtId="0" fontId="0" fillId="0" borderId="0" xfId="0" applyFont="1"/>
    <xf numFmtId="0" fontId="0" fillId="0" borderId="0" xfId="0" applyFill="1"/>
    <xf numFmtId="0" fontId="2" fillId="0" borderId="0" xfId="0" applyFont="1" applyAlignment="1">
      <alignment horizontal="center" vertical="center"/>
    </xf>
    <xf numFmtId="0" fontId="0" fillId="0" borderId="0" xfId="0" applyAlignment="1">
      <alignment horizontal="center"/>
    </xf>
    <xf numFmtId="0" fontId="0" fillId="0" borderId="0" xfId="0" applyAlignment="1">
      <alignment vertical="center"/>
    </xf>
    <xf numFmtId="0" fontId="2" fillId="0" borderId="0" xfId="0" applyFont="1" applyAlignment="1">
      <alignment horizontal="center"/>
    </xf>
    <xf numFmtId="0" fontId="2" fillId="0" borderId="0" xfId="0" applyFont="1" applyFill="1" applyBorder="1" applyAlignment="1">
      <alignment horizontal="center" vertical="center"/>
    </xf>
    <xf numFmtId="0" fontId="0" fillId="0" borderId="0" xfId="0" applyFill="1" applyBorder="1"/>
    <xf numFmtId="0" fontId="5" fillId="3" borderId="9" xfId="0" applyFont="1" applyFill="1" applyBorder="1" applyAlignment="1">
      <alignment horizontal="center"/>
    </xf>
    <xf numFmtId="0" fontId="5" fillId="3" borderId="1" xfId="0" applyFont="1" applyFill="1" applyBorder="1" applyAlignment="1">
      <alignment horizontal="center" wrapText="1"/>
    </xf>
    <xf numFmtId="0" fontId="5" fillId="3" borderId="1" xfId="0" applyFont="1" applyFill="1" applyBorder="1" applyAlignment="1">
      <alignment horizontal="center"/>
    </xf>
    <xf numFmtId="0" fontId="5" fillId="3" borderId="0" xfId="0" applyFont="1" applyFill="1" applyBorder="1" applyAlignment="1">
      <alignment horizontal="center"/>
    </xf>
    <xf numFmtId="0" fontId="2" fillId="3" borderId="2" xfId="0" applyFont="1" applyFill="1" applyBorder="1" applyAlignment="1">
      <alignment horizontal="center" vertical="center"/>
    </xf>
    <xf numFmtId="2" fontId="2" fillId="3" borderId="2"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4" fillId="3" borderId="12" xfId="0" applyFont="1" applyFill="1" applyBorder="1" applyAlignment="1">
      <alignment horizontal="center"/>
    </xf>
    <xf numFmtId="0" fontId="4" fillId="3" borderId="0" xfId="0" applyFont="1" applyFill="1" applyAlignment="1">
      <alignment horizont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9" fillId="0" borderId="0" xfId="0" applyFont="1" applyFill="1" applyBorder="1"/>
    <xf numFmtId="0" fontId="14" fillId="0" borderId="2" xfId="0" applyFont="1" applyBorder="1" applyAlignment="1">
      <alignment horizontal="center" vertical="center"/>
    </xf>
    <xf numFmtId="0" fontId="13" fillId="0" borderId="2" xfId="0" applyFont="1" applyBorder="1" applyAlignment="1">
      <alignment horizontal="center" vertical="center"/>
    </xf>
    <xf numFmtId="0" fontId="2" fillId="0" borderId="0" xfId="0" applyFont="1"/>
    <xf numFmtId="0" fontId="14" fillId="5" borderId="4" xfId="0" applyFont="1" applyFill="1" applyBorder="1" applyAlignment="1">
      <alignment horizontal="center" vertical="center"/>
    </xf>
    <xf numFmtId="0" fontId="13" fillId="5" borderId="4" xfId="0" applyFont="1" applyFill="1" applyBorder="1" applyAlignment="1">
      <alignment horizontal="center" vertical="center"/>
    </xf>
    <xf numFmtId="0" fontId="13" fillId="5" borderId="4" xfId="0" applyFont="1" applyFill="1" applyBorder="1" applyAlignment="1">
      <alignment horizontal="center"/>
    </xf>
    <xf numFmtId="0" fontId="2" fillId="5" borderId="4" xfId="0" applyFont="1" applyFill="1" applyBorder="1" applyAlignment="1">
      <alignment horizontal="center" vertical="center"/>
    </xf>
    <xf numFmtId="0" fontId="2" fillId="5" borderId="4" xfId="0" applyFont="1" applyFill="1" applyBorder="1" applyAlignment="1">
      <alignment horizontal="center"/>
    </xf>
    <xf numFmtId="0" fontId="15" fillId="5" borderId="4" xfId="0" applyFont="1" applyFill="1" applyBorder="1" applyAlignment="1">
      <alignment horizontal="center"/>
    </xf>
    <xf numFmtId="0" fontId="13" fillId="0" borderId="3" xfId="0" applyFont="1" applyBorder="1" applyAlignment="1">
      <alignment horizontal="center" vertical="center"/>
    </xf>
    <xf numFmtId="0" fontId="13" fillId="4" borderId="2" xfId="0" applyFont="1" applyFill="1" applyBorder="1" applyAlignment="1">
      <alignment horizontal="center"/>
    </xf>
    <xf numFmtId="0" fontId="13" fillId="4" borderId="2" xfId="0" applyFont="1" applyFill="1" applyBorder="1" applyAlignment="1">
      <alignment horizontal="center" vertical="center"/>
    </xf>
    <xf numFmtId="0" fontId="2" fillId="4" borderId="2" xfId="0" applyFont="1" applyFill="1" applyBorder="1" applyAlignment="1">
      <alignment horizontal="center"/>
    </xf>
    <xf numFmtId="0" fontId="15" fillId="4" borderId="2" xfId="0" applyFont="1" applyFill="1" applyBorder="1" applyAlignment="1">
      <alignment horizontal="center"/>
    </xf>
    <xf numFmtId="0" fontId="2" fillId="4" borderId="2" xfId="0" applyFont="1" applyFill="1" applyBorder="1" applyAlignment="1">
      <alignment horizontal="center" vertical="center"/>
    </xf>
    <xf numFmtId="0" fontId="2" fillId="0" borderId="0" xfId="0" applyFont="1" applyFill="1" applyBorder="1" applyAlignment="1">
      <alignment horizontal="left" vertical="center"/>
    </xf>
    <xf numFmtId="0" fontId="22" fillId="4" borderId="2" xfId="0" applyFont="1" applyFill="1" applyBorder="1" applyAlignment="1">
      <alignment horizontal="center" vertical="center"/>
    </xf>
    <xf numFmtId="0" fontId="2" fillId="4" borderId="0" xfId="0" applyFont="1" applyFill="1" applyBorder="1" applyAlignment="1">
      <alignment horizontal="center" vertical="center"/>
    </xf>
    <xf numFmtId="0" fontId="0" fillId="0" borderId="0" xfId="0" applyFill="1" applyAlignment="1">
      <alignment horizontal="center" vertical="center"/>
    </xf>
    <xf numFmtId="0" fontId="0" fillId="0" borderId="0" xfId="0" applyFont="1" applyFill="1"/>
    <xf numFmtId="0" fontId="2" fillId="0" borderId="0" xfId="0" applyFont="1" applyFill="1" applyBorder="1" applyAlignment="1">
      <alignment horizontal="center"/>
    </xf>
    <xf numFmtId="0" fontId="11" fillId="0" borderId="0" xfId="0" applyFont="1" applyFill="1" applyBorder="1" applyAlignment="1">
      <alignment horizontal="center" vertical="center"/>
    </xf>
    <xf numFmtId="0" fontId="25" fillId="4" borderId="3" xfId="0" applyFont="1" applyFill="1" applyBorder="1" applyAlignment="1">
      <alignment horizontal="center" vertical="center"/>
    </xf>
    <xf numFmtId="0" fontId="2" fillId="4" borderId="0" xfId="0" applyFont="1" applyFill="1" applyBorder="1" applyAlignment="1">
      <alignment horizontal="center"/>
    </xf>
    <xf numFmtId="0" fontId="2" fillId="4" borderId="1" xfId="0" applyFont="1" applyFill="1" applyBorder="1" applyAlignment="1">
      <alignment horizontal="center"/>
    </xf>
    <xf numFmtId="0" fontId="11" fillId="4" borderId="3" xfId="0" applyFont="1" applyFill="1" applyBorder="1" applyAlignment="1">
      <alignment horizontal="center" vertical="center"/>
    </xf>
    <xf numFmtId="0" fontId="2" fillId="4" borderId="12" xfId="0" applyFont="1" applyFill="1" applyBorder="1" applyAlignment="1">
      <alignment horizontal="center"/>
    </xf>
    <xf numFmtId="0" fontId="17" fillId="0" borderId="0" xfId="0" applyFont="1" applyFill="1" applyBorder="1"/>
    <xf numFmtId="0" fontId="23" fillId="4" borderId="2" xfId="0" applyFont="1" applyFill="1" applyBorder="1" applyAlignment="1">
      <alignment horizontal="center" vertical="center"/>
    </xf>
    <xf numFmtId="0" fontId="11" fillId="4" borderId="4" xfId="0" applyFont="1" applyFill="1" applyBorder="1" applyAlignment="1">
      <alignment horizontal="center" vertical="center"/>
    </xf>
    <xf numFmtId="0" fontId="23" fillId="4" borderId="4" xfId="0" applyFont="1" applyFill="1" applyBorder="1" applyAlignment="1">
      <alignment horizontal="center" vertical="center"/>
    </xf>
    <xf numFmtId="0" fontId="11" fillId="4" borderId="3" xfId="0" applyFont="1" applyFill="1" applyBorder="1" applyAlignment="1">
      <alignment horizontal="left" vertical="center"/>
    </xf>
    <xf numFmtId="0" fontId="0" fillId="4" borderId="0" xfId="0" applyFont="1" applyFill="1" applyBorder="1" applyAlignment="1">
      <alignment vertical="center"/>
    </xf>
    <xf numFmtId="0" fontId="2" fillId="0" borderId="0" xfId="0" applyFont="1" applyAlignment="1">
      <alignment vertical="center"/>
    </xf>
    <xf numFmtId="0" fontId="2" fillId="0" borderId="0" xfId="0" applyFont="1" applyFill="1"/>
    <xf numFmtId="0" fontId="10" fillId="0" borderId="0" xfId="1" applyAlignment="1" applyProtection="1"/>
    <xf numFmtId="0" fontId="19" fillId="0" borderId="0" xfId="0" applyFont="1"/>
    <xf numFmtId="0" fontId="0" fillId="0" borderId="0" xfId="0" applyFont="1" applyAlignment="1">
      <alignment horizontal="center" vertical="center"/>
    </xf>
    <xf numFmtId="0" fontId="5" fillId="3" borderId="6" xfId="0" applyFont="1" applyFill="1" applyBorder="1" applyAlignment="1">
      <alignment horizontal="center"/>
    </xf>
    <xf numFmtId="0" fontId="2" fillId="3" borderId="12" xfId="0" applyFont="1" applyFill="1" applyBorder="1" applyAlignment="1">
      <alignment horizontal="center"/>
    </xf>
    <xf numFmtId="0" fontId="2" fillId="5" borderId="0" xfId="0" applyFont="1" applyFill="1" applyBorder="1" applyAlignment="1">
      <alignment horizontal="center" vertical="center"/>
    </xf>
    <xf numFmtId="0" fontId="13" fillId="5" borderId="3" xfId="0" applyFont="1" applyFill="1" applyBorder="1" applyAlignment="1">
      <alignment horizontal="center" vertical="center"/>
    </xf>
    <xf numFmtId="0" fontId="0" fillId="0" borderId="0" xfId="0" applyFont="1" applyAlignment="1">
      <alignment vertical="center"/>
    </xf>
    <xf numFmtId="49" fontId="2" fillId="0" borderId="0" xfId="0" applyNumberFormat="1" applyFont="1" applyFill="1" applyBorder="1" applyAlignment="1">
      <alignment horizontal="center" vertical="center"/>
    </xf>
    <xf numFmtId="0" fontId="2" fillId="3" borderId="9" xfId="0" applyFont="1" applyFill="1" applyBorder="1" applyAlignment="1">
      <alignment horizontal="center"/>
    </xf>
    <xf numFmtId="0" fontId="2" fillId="4" borderId="5" xfId="0" applyFont="1" applyFill="1" applyBorder="1" applyAlignment="1">
      <alignment horizontal="center" vertical="center"/>
    </xf>
    <xf numFmtId="0" fontId="2" fillId="3" borderId="15" xfId="0" applyFont="1" applyFill="1" applyBorder="1" applyAlignment="1">
      <alignment horizontal="center"/>
    </xf>
    <xf numFmtId="0" fontId="2" fillId="4" borderId="3" xfId="0" applyFont="1" applyFill="1" applyBorder="1" applyAlignment="1">
      <alignment horizontal="center" vertical="center"/>
    </xf>
    <xf numFmtId="0" fontId="2" fillId="5" borderId="3" xfId="0" applyFont="1" applyFill="1" applyBorder="1" applyAlignment="1">
      <alignment horizontal="center" vertical="center"/>
    </xf>
    <xf numFmtId="0" fontId="0" fillId="0" borderId="0" xfId="0" applyFont="1" applyFill="1" applyBorder="1"/>
    <xf numFmtId="0" fontId="14" fillId="4" borderId="2" xfId="0" applyFont="1" applyFill="1" applyBorder="1" applyAlignment="1">
      <alignment horizontal="center" vertical="center"/>
    </xf>
    <xf numFmtId="0" fontId="14" fillId="4" borderId="1"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13" xfId="0" applyFont="1" applyFill="1" applyBorder="1" applyAlignment="1">
      <alignment horizontal="center" vertical="center"/>
    </xf>
    <xf numFmtId="0" fontId="14" fillId="4" borderId="11" xfId="0" applyFont="1" applyFill="1" applyBorder="1" applyAlignment="1">
      <alignment horizontal="center" vertical="center"/>
    </xf>
    <xf numFmtId="0" fontId="0" fillId="0" borderId="0" xfId="0" applyFont="1" applyFill="1" applyAlignment="1">
      <alignment horizontal="center" vertical="center"/>
    </xf>
    <xf numFmtId="0" fontId="2" fillId="0" borderId="0" xfId="0" applyFont="1" applyFill="1" applyBorder="1" applyAlignment="1">
      <alignment horizontal="left"/>
    </xf>
    <xf numFmtId="0" fontId="0" fillId="0" borderId="0" xfId="0" applyFill="1" applyBorder="1" applyAlignment="1">
      <alignment horizontal="center"/>
    </xf>
    <xf numFmtId="0" fontId="0" fillId="0" borderId="0" xfId="0" applyFont="1" applyFill="1" applyBorder="1" applyAlignment="1">
      <alignment horizontal="center" vertical="center"/>
    </xf>
    <xf numFmtId="0" fontId="9" fillId="5" borderId="4" xfId="0" applyFont="1" applyFill="1" applyBorder="1" applyAlignment="1">
      <alignment horizontal="center" vertical="center"/>
    </xf>
    <xf numFmtId="0" fontId="11" fillId="5" borderId="4" xfId="0" applyFont="1" applyFill="1" applyBorder="1" applyAlignment="1">
      <alignment horizontal="center" vertical="center"/>
    </xf>
    <xf numFmtId="0" fontId="11" fillId="5" borderId="4" xfId="0" applyFont="1" applyFill="1" applyBorder="1" applyAlignment="1">
      <alignment horizontal="center"/>
    </xf>
    <xf numFmtId="0" fontId="11" fillId="5" borderId="3" xfId="0" applyFont="1" applyFill="1" applyBorder="1" applyAlignment="1">
      <alignment horizontal="center" vertical="center"/>
    </xf>
    <xf numFmtId="0" fontId="2" fillId="3" borderId="13" xfId="0" applyFont="1" applyFill="1" applyBorder="1" applyAlignment="1">
      <alignment vertical="center"/>
    </xf>
    <xf numFmtId="0" fontId="2" fillId="3" borderId="10" xfId="0" applyFont="1" applyFill="1" applyBorder="1" applyAlignment="1">
      <alignment vertical="center"/>
    </xf>
    <xf numFmtId="0" fontId="13" fillId="4" borderId="11" xfId="0" applyFont="1" applyFill="1" applyBorder="1" applyAlignment="1">
      <alignment horizontal="center" vertical="center"/>
    </xf>
    <xf numFmtId="0" fontId="13" fillId="4" borderId="11" xfId="0" applyFont="1" applyFill="1" applyBorder="1" applyAlignment="1">
      <alignment horizontal="center"/>
    </xf>
    <xf numFmtId="0" fontId="2" fillId="4" borderId="11" xfId="0" applyFont="1" applyFill="1" applyBorder="1" applyAlignment="1">
      <alignment horizontal="center" vertical="center"/>
    </xf>
    <xf numFmtId="0" fontId="2" fillId="4" borderId="11" xfId="0" applyFont="1" applyFill="1" applyBorder="1" applyAlignment="1">
      <alignment horizontal="center"/>
    </xf>
    <xf numFmtId="0" fontId="15" fillId="4" borderId="11" xfId="0" applyFont="1" applyFill="1" applyBorder="1" applyAlignment="1">
      <alignment horizontal="center"/>
    </xf>
    <xf numFmtId="49" fontId="2" fillId="4" borderId="14" xfId="0" applyNumberFormat="1" applyFont="1" applyFill="1" applyBorder="1" applyAlignment="1">
      <alignment horizontal="center" vertical="center"/>
    </xf>
    <xf numFmtId="49" fontId="2" fillId="4" borderId="1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13" fillId="4" borderId="1" xfId="0" applyFont="1" applyFill="1" applyBorder="1" applyAlignment="1">
      <alignment horizontal="center"/>
    </xf>
    <xf numFmtId="0" fontId="2" fillId="4" borderId="1" xfId="0" applyFont="1" applyFill="1" applyBorder="1" applyAlignment="1">
      <alignment horizontal="center" vertical="center"/>
    </xf>
    <xf numFmtId="0" fontId="15" fillId="4" borderId="1" xfId="0" applyFont="1" applyFill="1" applyBorder="1" applyAlignment="1">
      <alignment horizontal="center"/>
    </xf>
    <xf numFmtId="0" fontId="2" fillId="4" borderId="6" xfId="0" applyFont="1" applyFill="1" applyBorder="1" applyAlignment="1">
      <alignment horizontal="center" vertical="center"/>
    </xf>
    <xf numFmtId="0" fontId="2" fillId="4" borderId="8" xfId="0" applyFont="1" applyFill="1" applyBorder="1" applyAlignment="1">
      <alignment horizontal="center" vertical="center"/>
    </xf>
    <xf numFmtId="0" fontId="0" fillId="5" borderId="4" xfId="0" applyFont="1" applyFill="1" applyBorder="1" applyAlignment="1">
      <alignment vertical="center"/>
    </xf>
    <xf numFmtId="0" fontId="0" fillId="4" borderId="0" xfId="0" applyFont="1" applyFill="1" applyAlignment="1">
      <alignment vertical="center"/>
    </xf>
    <xf numFmtId="0" fontId="0" fillId="4" borderId="7" xfId="0" applyFont="1" applyFill="1" applyBorder="1" applyAlignment="1">
      <alignment vertical="center"/>
    </xf>
    <xf numFmtId="0" fontId="9" fillId="5" borderId="4" xfId="0" applyFont="1" applyFill="1" applyBorder="1" applyAlignment="1">
      <alignment vertical="center"/>
    </xf>
    <xf numFmtId="0" fontId="0" fillId="4" borderId="10" xfId="0" applyFont="1" applyFill="1" applyBorder="1" applyAlignment="1">
      <alignment vertical="center"/>
    </xf>
    <xf numFmtId="0" fontId="2" fillId="4" borderId="0" xfId="0" applyFont="1" applyFill="1" applyAlignment="1">
      <alignment horizontal="center" vertical="center"/>
    </xf>
    <xf numFmtId="0" fontId="0" fillId="0" borderId="0" xfId="0" applyFont="1" applyAlignment="1">
      <alignment horizontal="center"/>
    </xf>
    <xf numFmtId="0" fontId="0" fillId="0" borderId="0" xfId="0" applyFont="1" applyBorder="1"/>
    <xf numFmtId="0" fontId="0" fillId="4" borderId="2" xfId="0" applyFont="1" applyFill="1" applyBorder="1" applyAlignment="1">
      <alignment horizontal="center" vertical="center"/>
    </xf>
    <xf numFmtId="0" fontId="0" fillId="4" borderId="5" xfId="0" applyFont="1" applyFill="1" applyBorder="1"/>
    <xf numFmtId="0" fontId="0" fillId="0" borderId="0" xfId="0" applyFont="1" applyAlignment="1">
      <alignment horizontal="left" vertical="center"/>
    </xf>
    <xf numFmtId="0" fontId="9" fillId="5" borderId="4" xfId="0" applyFont="1" applyFill="1" applyBorder="1" applyAlignment="1">
      <alignment horizontal="left" vertical="center"/>
    </xf>
    <xf numFmtId="0" fontId="0" fillId="4" borderId="0" xfId="0" applyFont="1" applyFill="1" applyAlignment="1">
      <alignment horizontal="left" vertical="center"/>
    </xf>
    <xf numFmtId="0" fontId="0" fillId="5" borderId="4" xfId="0" applyFont="1" applyFill="1" applyBorder="1" applyAlignment="1">
      <alignment horizontal="left" vertical="center"/>
    </xf>
    <xf numFmtId="0" fontId="0" fillId="0" borderId="10" xfId="0" applyFont="1" applyBorder="1" applyAlignment="1">
      <alignment horizontal="left" vertical="center"/>
    </xf>
    <xf numFmtId="0" fontId="0" fillId="0" borderId="7" xfId="0" applyFont="1" applyBorder="1" applyAlignment="1">
      <alignment horizontal="left" vertical="center"/>
    </xf>
    <xf numFmtId="0" fontId="0" fillId="0" borderId="0" xfId="0" applyFont="1" applyBorder="1" applyAlignment="1">
      <alignment horizontal="left" vertical="center"/>
    </xf>
    <xf numFmtId="0" fontId="0" fillId="0" borderId="0" xfId="0" applyFont="1" applyFill="1" applyBorder="1" applyAlignment="1">
      <alignment horizontal="left"/>
    </xf>
    <xf numFmtId="0" fontId="25" fillId="5" borderId="4" xfId="0" applyFont="1" applyFill="1" applyBorder="1" applyAlignment="1">
      <alignment horizontal="center" vertical="center"/>
    </xf>
    <xf numFmtId="0" fontId="25" fillId="5" borderId="4" xfId="0" applyFont="1" applyFill="1" applyBorder="1" applyAlignment="1">
      <alignment horizontal="center"/>
    </xf>
    <xf numFmtId="0" fontId="13" fillId="0" borderId="0" xfId="0" applyFont="1" applyAlignment="1">
      <alignment horizontal="center" vertical="center"/>
    </xf>
    <xf numFmtId="0" fontId="14" fillId="0" borderId="0" xfId="0" applyFont="1" applyFill="1"/>
    <xf numFmtId="0" fontId="14" fillId="0" borderId="0" xfId="0" applyFont="1"/>
    <xf numFmtId="0" fontId="14" fillId="0" borderId="0" xfId="0" applyFont="1" applyAlignment="1">
      <alignment horizontal="center"/>
    </xf>
    <xf numFmtId="0" fontId="32" fillId="4" borderId="0" xfId="1" applyFont="1" applyFill="1" applyBorder="1" applyAlignment="1" applyProtection="1">
      <alignment vertical="center"/>
    </xf>
    <xf numFmtId="0" fontId="0" fillId="4" borderId="0" xfId="0" applyFont="1" applyFill="1" applyAlignment="1">
      <alignment horizontal="center" vertical="center"/>
    </xf>
    <xf numFmtId="0" fontId="0" fillId="4" borderId="0" xfId="0" applyFont="1" applyFill="1" applyBorder="1"/>
    <xf numFmtId="0" fontId="0" fillId="4" borderId="13" xfId="0" applyFont="1" applyFill="1" applyBorder="1" applyAlignment="1">
      <alignment vertical="center"/>
    </xf>
    <xf numFmtId="0" fontId="2" fillId="0" borderId="3" xfId="0" applyFont="1" applyBorder="1" applyAlignment="1">
      <alignment vertical="center"/>
    </xf>
    <xf numFmtId="0" fontId="0" fillId="0" borderId="3" xfId="0" applyFont="1" applyBorder="1" applyAlignment="1">
      <alignment vertical="center"/>
    </xf>
    <xf numFmtId="0" fontId="31" fillId="5" borderId="4" xfId="1" applyFont="1" applyFill="1" applyBorder="1" applyAlignment="1" applyProtection="1">
      <alignment horizontal="left" vertical="center"/>
    </xf>
    <xf numFmtId="0" fontId="0" fillId="4" borderId="0" xfId="0" applyFont="1" applyFill="1" applyBorder="1" applyAlignment="1">
      <alignment horizontal="left" vertical="center"/>
    </xf>
    <xf numFmtId="0" fontId="14" fillId="4" borderId="6"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3" xfId="0" applyFont="1" applyFill="1" applyBorder="1" applyAlignment="1">
      <alignment horizontal="center" vertical="center"/>
    </xf>
    <xf numFmtId="0" fontId="13" fillId="4" borderId="8" xfId="0" applyFont="1" applyFill="1" applyBorder="1" applyAlignment="1">
      <alignment horizontal="center" vertical="center"/>
    </xf>
    <xf numFmtId="0" fontId="0" fillId="5" borderId="7" xfId="0" applyFont="1" applyFill="1" applyBorder="1" applyAlignment="1">
      <alignment vertical="center"/>
    </xf>
    <xf numFmtId="0" fontId="0" fillId="4" borderId="15" xfId="0" applyFont="1" applyFill="1" applyBorder="1" applyAlignment="1">
      <alignment horizontal="left" vertical="center"/>
    </xf>
    <xf numFmtId="0" fontId="0" fillId="4" borderId="9" xfId="0" applyFont="1" applyFill="1" applyBorder="1" applyAlignment="1">
      <alignment vertical="center"/>
    </xf>
    <xf numFmtId="0" fontId="9" fillId="4" borderId="0" xfId="0" applyFont="1" applyFill="1" applyAlignment="1">
      <alignment vertical="center"/>
    </xf>
    <xf numFmtId="0" fontId="9" fillId="4" borderId="0" xfId="0" applyFont="1" applyFill="1" applyBorder="1" applyAlignment="1">
      <alignment vertical="center"/>
    </xf>
    <xf numFmtId="0" fontId="9" fillId="4" borderId="9" xfId="0" applyFont="1" applyFill="1" applyBorder="1" applyAlignment="1">
      <alignment vertical="center"/>
    </xf>
    <xf numFmtId="0" fontId="0" fillId="4" borderId="15" xfId="0" applyFont="1" applyFill="1" applyBorder="1" applyAlignment="1">
      <alignment vertical="center"/>
    </xf>
    <xf numFmtId="0" fontId="29" fillId="4" borderId="15" xfId="1" applyFont="1" applyFill="1" applyBorder="1" applyAlignment="1" applyProtection="1">
      <alignment horizontal="left" vertical="center"/>
    </xf>
    <xf numFmtId="0" fontId="0" fillId="4" borderId="6" xfId="0" applyFont="1" applyFill="1" applyBorder="1" applyAlignment="1">
      <alignment vertical="center"/>
    </xf>
    <xf numFmtId="0" fontId="0" fillId="4" borderId="7" xfId="0" applyFont="1" applyFill="1" applyBorder="1" applyAlignment="1">
      <alignment horizontal="left" vertical="center"/>
    </xf>
    <xf numFmtId="0" fontId="0" fillId="4" borderId="8" xfId="0" applyFont="1" applyFill="1" applyBorder="1" applyAlignment="1">
      <alignment horizontal="left" vertical="center"/>
    </xf>
    <xf numFmtId="0" fontId="30" fillId="4" borderId="15" xfId="1" applyFont="1" applyFill="1" applyBorder="1" applyAlignment="1" applyProtection="1">
      <alignment horizontal="left" vertical="center"/>
    </xf>
    <xf numFmtId="0" fontId="0" fillId="5" borderId="7" xfId="0" applyFont="1" applyFill="1" applyBorder="1" applyAlignment="1">
      <alignment horizontal="left" vertical="center"/>
    </xf>
    <xf numFmtId="0" fontId="13" fillId="4" borderId="0" xfId="0" applyFont="1" applyFill="1" applyAlignment="1">
      <alignment horizontal="center" vertical="center"/>
    </xf>
    <xf numFmtId="0" fontId="0" fillId="4" borderId="10" xfId="0" applyFont="1" applyFill="1" applyBorder="1" applyAlignment="1">
      <alignment horizontal="left" vertical="center"/>
    </xf>
    <xf numFmtId="49" fontId="2" fillId="4" borderId="2" xfId="0" applyNumberFormat="1" applyFont="1" applyFill="1" applyBorder="1" applyAlignment="1">
      <alignment horizontal="center" vertical="center"/>
    </xf>
    <xf numFmtId="0" fontId="0" fillId="0" borderId="9" xfId="0" applyFont="1" applyBorder="1" applyAlignment="1">
      <alignment vertical="center"/>
    </xf>
    <xf numFmtId="0" fontId="13" fillId="4" borderId="12" xfId="0" applyFont="1" applyFill="1" applyBorder="1" applyAlignment="1">
      <alignment horizontal="center" vertical="center"/>
    </xf>
    <xf numFmtId="0" fontId="13" fillId="4" borderId="12" xfId="0" applyFont="1" applyFill="1" applyBorder="1" applyAlignment="1">
      <alignment horizontal="center"/>
    </xf>
    <xf numFmtId="0" fontId="2" fillId="4" borderId="13" xfId="0" applyFont="1" applyFill="1" applyBorder="1" applyAlignment="1">
      <alignment horizontal="center"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15" xfId="0" applyFont="1" applyBorder="1" applyAlignment="1">
      <alignment horizontal="left" vertical="center"/>
    </xf>
    <xf numFmtId="0" fontId="0" fillId="0" borderId="14" xfId="0" applyFont="1" applyBorder="1" applyAlignment="1">
      <alignment horizontal="left" vertical="center"/>
    </xf>
    <xf numFmtId="0" fontId="14" fillId="5" borderId="7" xfId="0" applyFont="1" applyFill="1" applyBorder="1" applyAlignment="1">
      <alignment horizontal="center" vertical="center"/>
    </xf>
    <xf numFmtId="0" fontId="20" fillId="5" borderId="7" xfId="0" applyFont="1" applyFill="1" applyBorder="1" applyAlignment="1">
      <alignment vertical="center"/>
    </xf>
    <xf numFmtId="0" fontId="29" fillId="5" borderId="7" xfId="1" applyFont="1" applyFill="1" applyBorder="1" applyAlignment="1" applyProtection="1">
      <alignment horizontal="left" vertical="center"/>
    </xf>
    <xf numFmtId="0" fontId="20" fillId="4" borderId="0" xfId="0" applyFont="1" applyFill="1" applyBorder="1" applyAlignment="1">
      <alignment vertical="center"/>
    </xf>
    <xf numFmtId="0" fontId="0" fillId="4" borderId="0" xfId="0" applyFill="1" applyBorder="1" applyAlignment="1">
      <alignment vertical="center"/>
    </xf>
    <xf numFmtId="0" fontId="13" fillId="4" borderId="0" xfId="0" applyFont="1" applyFill="1" applyBorder="1" applyAlignment="1">
      <alignment horizontal="center" vertical="center"/>
    </xf>
    <xf numFmtId="0" fontId="2" fillId="4" borderId="15" xfId="0" applyFont="1" applyFill="1" applyBorder="1" applyAlignment="1">
      <alignment horizontal="center" vertical="center"/>
    </xf>
    <xf numFmtId="0" fontId="0" fillId="0" borderId="10" xfId="0" applyFont="1" applyFill="1" applyBorder="1" applyAlignment="1">
      <alignment horizontal="center" vertical="center"/>
    </xf>
    <xf numFmtId="0" fontId="0" fillId="4" borderId="0" xfId="0" applyFont="1" applyFill="1" applyBorder="1" applyAlignment="1">
      <alignment horizontal="center" vertical="center"/>
    </xf>
    <xf numFmtId="0" fontId="7" fillId="4" borderId="2" xfId="0" applyFont="1" applyFill="1" applyBorder="1" applyAlignment="1">
      <alignment horizontal="right" vertical="center"/>
    </xf>
    <xf numFmtId="0" fontId="20" fillId="4" borderId="2" xfId="0" applyFont="1" applyFill="1" applyBorder="1" applyAlignment="1">
      <alignment horizontal="center" vertical="center"/>
    </xf>
    <xf numFmtId="0" fontId="20" fillId="4" borderId="0" xfId="0" applyFont="1" applyFill="1" applyBorder="1" applyAlignment="1">
      <alignment horizontal="center" vertical="center"/>
    </xf>
    <xf numFmtId="0" fontId="7" fillId="4" borderId="0" xfId="0" applyFont="1" applyFill="1" applyBorder="1" applyAlignment="1">
      <alignment horizontal="right" vertical="center"/>
    </xf>
    <xf numFmtId="0" fontId="0" fillId="4" borderId="10" xfId="0" applyFont="1" applyFill="1" applyBorder="1" applyAlignment="1">
      <alignment horizontal="center" vertical="center"/>
    </xf>
    <xf numFmtId="0" fontId="2" fillId="4" borderId="2" xfId="0" applyNumberFormat="1" applyFont="1" applyFill="1" applyBorder="1" applyAlignment="1">
      <alignment horizontal="center" vertical="center"/>
    </xf>
    <xf numFmtId="49" fontId="2" fillId="4" borderId="2" xfId="0" applyNumberFormat="1" applyFont="1" applyFill="1" applyBorder="1" applyAlignment="1">
      <alignment horizontal="left" vertical="center"/>
    </xf>
    <xf numFmtId="0" fontId="2" fillId="3" borderId="15" xfId="0" applyFont="1" applyFill="1" applyBorder="1" applyAlignment="1">
      <alignment horizontal="center" wrapText="1"/>
    </xf>
    <xf numFmtId="0" fontId="2" fillId="4" borderId="12" xfId="0" applyFont="1" applyFill="1" applyBorder="1" applyAlignment="1">
      <alignment horizontal="center" vertical="center"/>
    </xf>
    <xf numFmtId="0" fontId="2" fillId="4" borderId="14" xfId="0" applyFont="1" applyFill="1" applyBorder="1" applyAlignment="1">
      <alignment horizontal="center" vertical="center"/>
    </xf>
    <xf numFmtId="0" fontId="14" fillId="4" borderId="2" xfId="0" applyFont="1" applyFill="1" applyBorder="1"/>
    <xf numFmtId="0" fontId="0" fillId="4" borderId="2" xfId="0" applyFont="1" applyFill="1" applyBorder="1"/>
    <xf numFmtId="0" fontId="0" fillId="4" borderId="3" xfId="0" applyFont="1" applyFill="1" applyBorder="1"/>
    <xf numFmtId="0" fontId="15" fillId="4" borderId="2" xfId="0" applyFont="1" applyFill="1" applyBorder="1" applyAlignment="1">
      <alignment horizontal="center" vertical="center"/>
    </xf>
    <xf numFmtId="0" fontId="8" fillId="5" borderId="5" xfId="0" applyFont="1" applyFill="1" applyBorder="1" applyAlignment="1">
      <alignment horizontal="left" vertical="center"/>
    </xf>
    <xf numFmtId="0" fontId="0" fillId="0" borderId="10" xfId="0" applyFont="1" applyBorder="1" applyAlignment="1">
      <alignment horizontal="center" vertical="center"/>
    </xf>
    <xf numFmtId="0" fontId="2"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1" fontId="0" fillId="0" borderId="2" xfId="0" applyNumberFormat="1" applyFont="1" applyBorder="1" applyAlignment="1">
      <alignment horizontal="center" vertical="center"/>
    </xf>
    <xf numFmtId="1" fontId="0" fillId="4" borderId="2" xfId="0" applyNumberFormat="1" applyFont="1" applyFill="1" applyBorder="1" applyAlignment="1">
      <alignment horizontal="center" vertical="center"/>
    </xf>
    <xf numFmtId="0" fontId="0" fillId="4" borderId="9" xfId="0" applyFill="1" applyBorder="1" applyAlignment="1">
      <alignment vertical="center"/>
    </xf>
    <xf numFmtId="0" fontId="0" fillId="4" borderId="13" xfId="0" applyFill="1" applyBorder="1" applyAlignment="1">
      <alignment vertical="center"/>
    </xf>
    <xf numFmtId="0" fontId="2" fillId="4" borderId="10" xfId="0" applyFont="1" applyFill="1" applyBorder="1" applyAlignment="1">
      <alignment horizontal="center" vertical="center"/>
    </xf>
    <xf numFmtId="49" fontId="2" fillId="4" borderId="13" xfId="0" applyNumberFormat="1" applyFont="1" applyFill="1" applyBorder="1" applyAlignment="1">
      <alignment horizontal="center" vertical="center"/>
    </xf>
    <xf numFmtId="0" fontId="2" fillId="5" borderId="10" xfId="0" applyFont="1" applyFill="1" applyBorder="1" applyAlignment="1">
      <alignment horizontal="center" vertical="center"/>
    </xf>
    <xf numFmtId="0" fontId="2" fillId="4" borderId="12" xfId="0" applyNumberFormat="1" applyFont="1" applyFill="1" applyBorder="1" applyAlignment="1">
      <alignment horizontal="center" vertical="center"/>
    </xf>
    <xf numFmtId="0" fontId="2" fillId="4" borderId="11" xfId="0" applyNumberFormat="1" applyFont="1" applyFill="1" applyBorder="1" applyAlignment="1">
      <alignment horizontal="center" vertical="center"/>
    </xf>
    <xf numFmtId="0" fontId="2" fillId="4" borderId="3" xfId="0" applyNumberFormat="1" applyFont="1" applyFill="1" applyBorder="1" applyAlignment="1">
      <alignment horizontal="center" vertical="center"/>
    </xf>
    <xf numFmtId="0" fontId="2" fillId="4" borderId="8" xfId="0" applyNumberFormat="1" applyFont="1" applyFill="1" applyBorder="1" applyAlignment="1">
      <alignment horizontal="center" vertical="center"/>
    </xf>
    <xf numFmtId="0" fontId="2" fillId="4" borderId="1" xfId="0" applyNumberFormat="1" applyFont="1" applyFill="1" applyBorder="1" applyAlignment="1">
      <alignment horizontal="center" vertical="center"/>
    </xf>
    <xf numFmtId="0" fontId="2" fillId="4" borderId="5" xfId="0" applyNumberFormat="1" applyFont="1" applyFill="1" applyBorder="1" applyAlignment="1">
      <alignment horizontal="center" vertical="center"/>
    </xf>
    <xf numFmtId="49" fontId="2" fillId="4" borderId="5" xfId="0" applyNumberFormat="1" applyFont="1" applyFill="1" applyBorder="1" applyAlignment="1">
      <alignment horizontal="center" vertical="center"/>
    </xf>
    <xf numFmtId="49" fontId="2" fillId="4" borderId="3" xfId="0" applyNumberFormat="1" applyFont="1" applyFill="1" applyBorder="1" applyAlignment="1">
      <alignment horizontal="center" vertical="center"/>
    </xf>
    <xf numFmtId="49" fontId="2" fillId="4" borderId="3" xfId="0" applyNumberFormat="1" applyFont="1" applyFill="1" applyBorder="1" applyAlignment="1">
      <alignment horizontal="left" vertical="center"/>
    </xf>
    <xf numFmtId="0" fontId="0" fillId="4" borderId="12" xfId="0" applyFont="1" applyFill="1" applyBorder="1" applyAlignment="1">
      <alignment horizontal="center" vertical="center"/>
    </xf>
    <xf numFmtId="0" fontId="2" fillId="4" borderId="6" xfId="0" applyNumberFormat="1" applyFont="1" applyFill="1" applyBorder="1" applyAlignment="1">
      <alignment horizontal="center" vertical="center"/>
    </xf>
    <xf numFmtId="49" fontId="2" fillId="4" borderId="5" xfId="0" applyNumberFormat="1" applyFont="1" applyFill="1" applyBorder="1" applyAlignment="1">
      <alignment horizontal="left" vertical="center"/>
    </xf>
    <xf numFmtId="0" fontId="6" fillId="3" borderId="3" xfId="0" applyFont="1" applyFill="1" applyBorder="1" applyAlignment="1">
      <alignment horizontal="center" wrapText="1"/>
    </xf>
    <xf numFmtId="0" fontId="6" fillId="3" borderId="8" xfId="0" applyFont="1" applyFill="1" applyBorder="1" applyAlignment="1">
      <alignment horizontal="center" vertical="center" wrapText="1"/>
    </xf>
    <xf numFmtId="0" fontId="14" fillId="4" borderId="3" xfId="0" applyFont="1" applyFill="1" applyBorder="1" applyAlignment="1">
      <alignment horizontal="center"/>
    </xf>
    <xf numFmtId="0" fontId="0" fillId="4" borderId="12" xfId="0" applyFont="1" applyFill="1" applyBorder="1"/>
    <xf numFmtId="0" fontId="9" fillId="4" borderId="12" xfId="0" applyFont="1" applyFill="1" applyBorder="1"/>
    <xf numFmtId="0" fontId="0" fillId="4" borderId="11" xfId="0" applyFont="1" applyFill="1" applyBorder="1"/>
    <xf numFmtId="0" fontId="2" fillId="0" borderId="0" xfId="0" applyFont="1" applyFill="1" applyBorder="1" applyAlignment="1">
      <alignment horizontal="center" vertical="center" wrapText="1"/>
    </xf>
    <xf numFmtId="0" fontId="5" fillId="0" borderId="0" xfId="0" applyFont="1" applyFill="1" applyBorder="1" applyAlignment="1">
      <alignment horizontal="center"/>
    </xf>
    <xf numFmtId="0" fontId="12" fillId="0" borderId="0" xfId="0" applyFont="1" applyFill="1" applyBorder="1" applyAlignment="1">
      <alignment horizontal="left" vertical="center"/>
    </xf>
    <xf numFmtId="0" fontId="2" fillId="0" borderId="0" xfId="0" applyNumberFormat="1" applyFont="1" applyFill="1" applyBorder="1" applyAlignment="1">
      <alignment horizontal="left" vertical="center"/>
    </xf>
    <xf numFmtId="0" fontId="4" fillId="0" borderId="0" xfId="0" applyFont="1" applyFill="1" applyBorder="1" applyAlignment="1">
      <alignment horizontal="center"/>
    </xf>
    <xf numFmtId="0" fontId="22" fillId="0" borderId="0" xfId="0" applyFont="1" applyFill="1" applyBorder="1" applyAlignment="1">
      <alignment horizontal="center" vertical="center"/>
    </xf>
    <xf numFmtId="0" fontId="23" fillId="0" borderId="0" xfId="0" applyFont="1" applyFill="1" applyBorder="1" applyAlignment="1">
      <alignment horizontal="left" vertical="center" indent="1"/>
    </xf>
    <xf numFmtId="0" fontId="23"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10" fillId="0" borderId="0" xfId="1" applyFill="1" applyBorder="1" applyAlignment="1" applyProtection="1">
      <alignment horizontal="center"/>
    </xf>
    <xf numFmtId="0" fontId="19" fillId="0" borderId="0" xfId="0" applyFont="1" applyFill="1" applyBorder="1"/>
    <xf numFmtId="0" fontId="2" fillId="0" borderId="0" xfId="0" applyFont="1" applyFill="1" applyBorder="1"/>
    <xf numFmtId="0" fontId="20" fillId="0" borderId="0" xfId="0" applyFont="1" applyFill="1" applyBorder="1"/>
    <xf numFmtId="0" fontId="21" fillId="0" borderId="0" xfId="0" applyFont="1" applyFill="1" applyBorder="1"/>
    <xf numFmtId="0" fontId="8" fillId="0" borderId="0" xfId="0" applyFont="1" applyFill="1" applyBorder="1"/>
    <xf numFmtId="0" fontId="7" fillId="0" borderId="0" xfId="0" applyFont="1" applyFill="1"/>
    <xf numFmtId="0" fontId="10" fillId="0" borderId="0" xfId="1" applyFont="1" applyAlignment="1" applyProtection="1"/>
    <xf numFmtId="0" fontId="30" fillId="0" borderId="0" xfId="0" applyFont="1" applyFill="1" applyBorder="1"/>
    <xf numFmtId="0" fontId="30" fillId="0" borderId="0" xfId="0" applyFont="1"/>
    <xf numFmtId="0" fontId="0" fillId="4" borderId="0" xfId="0" applyFill="1" applyBorder="1" applyAlignment="1">
      <alignment horizontal="left" vertical="center"/>
    </xf>
    <xf numFmtId="1" fontId="1" fillId="6" borderId="2" xfId="0" applyNumberFormat="1" applyFont="1" applyFill="1" applyBorder="1" applyAlignment="1">
      <alignment horizontal="center" vertical="center"/>
    </xf>
    <xf numFmtId="0" fontId="1" fillId="6" borderId="0" xfId="0" applyFont="1" applyFill="1" applyAlignment="1">
      <alignment horizontal="center" vertical="center"/>
    </xf>
    <xf numFmtId="1" fontId="2" fillId="0" borderId="0" xfId="0" applyNumberFormat="1" applyFont="1" applyFill="1" applyBorder="1" applyAlignment="1">
      <alignment horizontal="center" vertical="center"/>
    </xf>
    <xf numFmtId="1" fontId="11" fillId="5" borderId="4" xfId="0" applyNumberFormat="1" applyFont="1" applyFill="1" applyBorder="1" applyAlignment="1">
      <alignment horizontal="center" vertical="center"/>
    </xf>
    <xf numFmtId="1" fontId="2" fillId="4" borderId="13" xfId="0" applyNumberFormat="1" applyFont="1" applyFill="1" applyBorder="1" applyAlignment="1">
      <alignment horizontal="center" vertical="center"/>
    </xf>
    <xf numFmtId="1" fontId="2" fillId="4" borderId="5" xfId="0" applyNumberFormat="1" applyFont="1" applyFill="1" applyBorder="1" applyAlignment="1">
      <alignment horizontal="center" vertical="center"/>
    </xf>
    <xf numFmtId="1" fontId="2" fillId="5" borderId="4" xfId="0" applyNumberFormat="1" applyFont="1" applyFill="1" applyBorder="1" applyAlignment="1">
      <alignment horizontal="center" vertical="center"/>
    </xf>
    <xf numFmtId="1" fontId="0" fillId="0" borderId="0" xfId="0" applyNumberFormat="1" applyFont="1" applyAlignment="1">
      <alignment horizontal="center" vertical="center"/>
    </xf>
    <xf numFmtId="0" fontId="0" fillId="7" borderId="0" xfId="0" applyFont="1" applyFill="1" applyAlignment="1">
      <alignment horizontal="center" vertical="center"/>
    </xf>
    <xf numFmtId="0" fontId="0" fillId="7" borderId="0" xfId="0" applyFont="1" applyFill="1" applyAlignment="1">
      <alignment horizontal="left" vertical="center"/>
    </xf>
    <xf numFmtId="0" fontId="2" fillId="7" borderId="0" xfId="0" applyFont="1" applyFill="1" applyAlignment="1">
      <alignment horizontal="center" vertical="center"/>
    </xf>
    <xf numFmtId="0" fontId="0" fillId="0" borderId="0" xfId="0" applyFont="1" applyBorder="1" applyAlignment="1">
      <alignment horizontal="center" vertical="center"/>
    </xf>
    <xf numFmtId="0" fontId="34" fillId="4" borderId="2" xfId="0" applyFont="1" applyFill="1" applyBorder="1" applyAlignment="1">
      <alignment horizontal="center" vertical="center"/>
    </xf>
    <xf numFmtId="0" fontId="34" fillId="4" borderId="1" xfId="0" applyFont="1" applyFill="1" applyBorder="1" applyAlignment="1">
      <alignment horizontal="center" vertical="center"/>
    </xf>
    <xf numFmtId="0" fontId="22" fillId="4" borderId="1" xfId="0" applyFont="1" applyFill="1" applyBorder="1" applyAlignment="1">
      <alignment horizontal="center" vertical="center"/>
    </xf>
    <xf numFmtId="0" fontId="22" fillId="4" borderId="12" xfId="0" applyFont="1" applyFill="1" applyBorder="1" applyAlignment="1">
      <alignment horizontal="center" vertical="center"/>
    </xf>
    <xf numFmtId="0" fontId="22" fillId="4" borderId="11" xfId="0" applyFont="1" applyFill="1" applyBorder="1" applyAlignment="1">
      <alignment horizontal="center" vertical="center"/>
    </xf>
    <xf numFmtId="0" fontId="39" fillId="0" borderId="0" xfId="0" applyFont="1" applyFill="1" applyBorder="1" applyAlignment="1">
      <alignment horizontal="center" vertical="center"/>
    </xf>
    <xf numFmtId="0" fontId="17" fillId="0" borderId="0" xfId="0" applyFont="1" applyFill="1" applyBorder="1" applyAlignment="1">
      <alignment horizontal="center" vertical="center"/>
    </xf>
    <xf numFmtId="0" fontId="22" fillId="4" borderId="5" xfId="0" applyFont="1" applyFill="1" applyBorder="1" applyAlignment="1">
      <alignment horizontal="center" vertical="center"/>
    </xf>
    <xf numFmtId="0" fontId="22" fillId="4" borderId="6" xfId="0" applyFont="1" applyFill="1" applyBorder="1" applyAlignment="1">
      <alignment horizontal="center" vertical="center"/>
    </xf>
    <xf numFmtId="0" fontId="12" fillId="4" borderId="12" xfId="0" applyFont="1" applyFill="1" applyBorder="1" applyAlignment="1">
      <alignment horizontal="center" vertical="center"/>
    </xf>
    <xf numFmtId="0" fontId="12" fillId="4" borderId="9" xfId="0" applyFont="1" applyFill="1" applyBorder="1" applyAlignment="1">
      <alignment horizontal="center" vertical="center"/>
    </xf>
    <xf numFmtId="0" fontId="22" fillId="4" borderId="9" xfId="0" applyFont="1" applyFill="1" applyBorder="1" applyAlignment="1">
      <alignment horizontal="center" vertical="center"/>
    </xf>
    <xf numFmtId="0" fontId="22" fillId="4" borderId="13" xfId="0" applyFont="1" applyFill="1" applyBorder="1" applyAlignment="1">
      <alignment horizontal="center" vertical="center"/>
    </xf>
    <xf numFmtId="0" fontId="17" fillId="2" borderId="2" xfId="0" applyFont="1" applyFill="1" applyBorder="1" applyAlignment="1">
      <alignment horizontal="center" vertical="center"/>
    </xf>
    <xf numFmtId="0" fontId="22" fillId="4" borderId="0" xfId="0" applyFont="1" applyFill="1" applyBorder="1" applyAlignment="1">
      <alignment horizontal="center" vertical="center"/>
    </xf>
    <xf numFmtId="0" fontId="12" fillId="4" borderId="0" xfId="0" applyFont="1" applyFill="1" applyBorder="1" applyAlignment="1">
      <alignment horizontal="center" vertical="center"/>
    </xf>
    <xf numFmtId="0" fontId="17" fillId="2" borderId="0" xfId="0" applyFont="1" applyFill="1" applyBorder="1" applyAlignment="1">
      <alignment horizontal="center" vertical="center"/>
    </xf>
    <xf numFmtId="0" fontId="17" fillId="0" borderId="0" xfId="0" applyFont="1" applyFill="1" applyBorder="1" applyAlignment="1">
      <alignment horizontal="left" vertical="center"/>
    </xf>
    <xf numFmtId="0" fontId="17" fillId="0" borderId="0" xfId="0" applyFont="1"/>
    <xf numFmtId="0" fontId="41" fillId="4" borderId="0" xfId="0" applyFont="1" applyFill="1" applyBorder="1" applyAlignment="1">
      <alignment vertical="center" wrapText="1"/>
    </xf>
    <xf numFmtId="0" fontId="40" fillId="4" borderId="0" xfId="0" applyFont="1" applyFill="1" applyBorder="1" applyAlignment="1">
      <alignment horizontal="center" vertical="center"/>
    </xf>
    <xf numFmtId="0" fontId="40" fillId="4" borderId="0" xfId="0" applyFont="1" applyFill="1" applyBorder="1" applyAlignment="1">
      <alignment horizontal="left" vertical="center"/>
    </xf>
    <xf numFmtId="0" fontId="17" fillId="0" borderId="0" xfId="0" applyFont="1" applyAlignment="1">
      <alignment horizontal="left" indent="1"/>
    </xf>
    <xf numFmtId="0" fontId="2"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left" vertical="center"/>
    </xf>
    <xf numFmtId="0" fontId="0" fillId="0" borderId="0" xfId="0" applyNumberFormat="1" applyFont="1" applyAlignment="1">
      <alignment horizontal="center" vertical="center"/>
    </xf>
    <xf numFmtId="0" fontId="0" fillId="0" borderId="0" xfId="0" applyNumberFormat="1" applyFont="1" applyAlignment="1">
      <alignment horizontal="left" vertical="center"/>
    </xf>
    <xf numFmtId="0" fontId="17" fillId="8" borderId="0" xfId="0" applyFont="1" applyFill="1" applyBorder="1" applyAlignment="1">
      <alignment horizontal="center" vertical="center"/>
    </xf>
    <xf numFmtId="2" fontId="17" fillId="0" borderId="0" xfId="0" applyNumberFormat="1" applyFont="1" applyFill="1" applyBorder="1" applyAlignment="1">
      <alignment horizontal="center" vertical="center"/>
    </xf>
    <xf numFmtId="0" fontId="40" fillId="4" borderId="0" xfId="0" applyFont="1" applyFill="1" applyBorder="1"/>
    <xf numFmtId="0" fontId="17" fillId="4" borderId="0" xfId="0" applyFont="1" applyFill="1" applyBorder="1" applyAlignment="1">
      <alignment horizontal="center" vertical="center"/>
    </xf>
    <xf numFmtId="0" fontId="21" fillId="0" borderId="0" xfId="0" applyFont="1" applyFill="1" applyBorder="1" applyAlignment="1">
      <alignment horizontal="center" vertical="center"/>
    </xf>
    <xf numFmtId="0" fontId="45" fillId="0" borderId="0" xfId="0" applyFont="1" applyAlignment="1">
      <alignment horizontal="left" indent="1"/>
    </xf>
    <xf numFmtId="0" fontId="9" fillId="4" borderId="0" xfId="0" applyFont="1" applyFill="1" applyBorder="1" applyAlignment="1">
      <alignment horizontal="center" vertical="center"/>
    </xf>
    <xf numFmtId="0" fontId="9" fillId="0" borderId="0" xfId="0" applyFont="1" applyFill="1" applyBorder="1" applyAlignment="1">
      <alignment horizontal="center" vertical="center"/>
    </xf>
    <xf numFmtId="2" fontId="9" fillId="0" borderId="0" xfId="0" applyNumberFormat="1" applyFont="1" applyFill="1" applyBorder="1" applyAlignment="1">
      <alignment horizontal="center" vertical="center"/>
    </xf>
    <xf numFmtId="2" fontId="2" fillId="0" borderId="0" xfId="0" applyNumberFormat="1" applyFont="1" applyFill="1" applyBorder="1" applyAlignment="1">
      <alignment horizontal="center" vertical="center"/>
    </xf>
    <xf numFmtId="0" fontId="22" fillId="4" borderId="7" xfId="0" applyFont="1" applyFill="1" applyBorder="1" applyAlignment="1">
      <alignment horizontal="center" vertical="center"/>
    </xf>
    <xf numFmtId="2" fontId="22" fillId="4" borderId="7" xfId="0" applyNumberFormat="1" applyFont="1" applyFill="1" applyBorder="1" applyAlignment="1">
      <alignment horizontal="center" vertical="center"/>
    </xf>
    <xf numFmtId="2" fontId="22" fillId="4" borderId="0" xfId="0" applyNumberFormat="1" applyFont="1" applyFill="1" applyBorder="1" applyAlignment="1">
      <alignment horizontal="center" vertical="center"/>
    </xf>
    <xf numFmtId="2" fontId="22" fillId="4" borderId="10" xfId="0" applyNumberFormat="1" applyFont="1" applyFill="1" applyBorder="1" applyAlignment="1">
      <alignment horizontal="center" vertical="center"/>
    </xf>
    <xf numFmtId="2" fontId="22" fillId="4" borderId="6" xfId="0" applyNumberFormat="1" applyFont="1" applyFill="1" applyBorder="1" applyAlignment="1">
      <alignment horizontal="center" vertical="center"/>
    </xf>
    <xf numFmtId="2" fontId="22" fillId="4" borderId="9" xfId="0" applyNumberFormat="1" applyFont="1" applyFill="1" applyBorder="1" applyAlignment="1">
      <alignment horizontal="center" vertical="center"/>
    </xf>
    <xf numFmtId="2" fontId="22" fillId="4" borderId="13" xfId="0" applyNumberFormat="1" applyFont="1" applyFill="1" applyBorder="1" applyAlignment="1">
      <alignment horizontal="center" vertical="center"/>
    </xf>
    <xf numFmtId="2" fontId="22" fillId="4" borderId="5" xfId="0" applyNumberFormat="1" applyFont="1" applyFill="1" applyBorder="1" applyAlignment="1">
      <alignment horizontal="center" vertical="center"/>
    </xf>
    <xf numFmtId="2" fontId="11" fillId="0" borderId="0" xfId="0" applyNumberFormat="1" applyFont="1" applyFill="1" applyBorder="1" applyAlignment="1">
      <alignment horizontal="center" vertical="center"/>
    </xf>
    <xf numFmtId="0" fontId="22" fillId="4" borderId="3" xfId="0" applyFont="1" applyFill="1" applyBorder="1" applyAlignment="1">
      <alignment horizontal="center" vertical="center"/>
    </xf>
    <xf numFmtId="0" fontId="22" fillId="4" borderId="8"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14" xfId="0" applyFont="1" applyFill="1" applyBorder="1" applyAlignment="1">
      <alignment horizontal="center" vertical="center"/>
    </xf>
    <xf numFmtId="0" fontId="2" fillId="0" borderId="0" xfId="0" applyFont="1" applyFill="1" applyBorder="1" applyAlignment="1">
      <alignment vertical="center"/>
    </xf>
    <xf numFmtId="0" fontId="22" fillId="9" borderId="5" xfId="0" applyFont="1" applyFill="1" applyBorder="1" applyAlignment="1">
      <alignment horizontal="left" vertical="center"/>
    </xf>
    <xf numFmtId="0" fontId="22" fillId="9" borderId="4" xfId="0" applyFont="1" applyFill="1" applyBorder="1" applyAlignment="1">
      <alignment horizontal="left" vertical="center"/>
    </xf>
    <xf numFmtId="0" fontId="34" fillId="9" borderId="4" xfId="0" applyFont="1" applyFill="1" applyBorder="1" applyAlignment="1">
      <alignment horizontal="center" vertical="center"/>
    </xf>
    <xf numFmtId="0" fontId="22" fillId="9" borderId="4" xfId="0" applyFont="1" applyFill="1" applyBorder="1" applyAlignment="1">
      <alignment horizontal="center" vertical="center"/>
    </xf>
    <xf numFmtId="0" fontId="17" fillId="9" borderId="3" xfId="0" applyFont="1" applyFill="1" applyBorder="1" applyAlignment="1">
      <alignment horizontal="center" vertical="center"/>
    </xf>
    <xf numFmtId="0" fontId="22" fillId="10" borderId="5" xfId="0" applyFont="1" applyFill="1" applyBorder="1" applyAlignment="1">
      <alignment horizontal="left" vertical="center"/>
    </xf>
    <xf numFmtId="0" fontId="34" fillId="10" borderId="4" xfId="0" applyFont="1" applyFill="1" applyBorder="1" applyAlignment="1">
      <alignment horizontal="center" vertical="center"/>
    </xf>
    <xf numFmtId="0" fontId="22" fillId="10" borderId="4" xfId="0" applyFont="1" applyFill="1" applyBorder="1" applyAlignment="1">
      <alignment horizontal="center" vertical="center"/>
    </xf>
    <xf numFmtId="0" fontId="17" fillId="10" borderId="3" xfId="0" applyFont="1" applyFill="1" applyBorder="1" applyAlignment="1">
      <alignment horizontal="center" vertical="center"/>
    </xf>
    <xf numFmtId="0" fontId="22" fillId="11" borderId="5" xfId="0" applyFont="1" applyFill="1" applyBorder="1" applyAlignment="1">
      <alignment horizontal="left" vertical="center"/>
    </xf>
    <xf numFmtId="0" fontId="34" fillId="11" borderId="4" xfId="0" applyFont="1" applyFill="1" applyBorder="1" applyAlignment="1">
      <alignment horizontal="center" vertical="center"/>
    </xf>
    <xf numFmtId="0" fontId="22" fillId="11" borderId="4" xfId="0" applyFont="1" applyFill="1" applyBorder="1" applyAlignment="1">
      <alignment horizontal="center" vertical="center"/>
    </xf>
    <xf numFmtId="0" fontId="17" fillId="11" borderId="3" xfId="0" applyFont="1" applyFill="1" applyBorder="1" applyAlignment="1">
      <alignment horizontal="center" vertical="center"/>
    </xf>
    <xf numFmtId="49" fontId="11" fillId="0" borderId="0" xfId="0" applyNumberFormat="1" applyFont="1" applyFill="1" applyBorder="1" applyAlignment="1">
      <alignment horizontal="center" vertical="center"/>
    </xf>
    <xf numFmtId="1" fontId="2" fillId="4" borderId="2" xfId="0" applyNumberFormat="1" applyFont="1" applyFill="1" applyBorder="1" applyAlignment="1">
      <alignment horizontal="center" vertical="center"/>
    </xf>
    <xf numFmtId="0" fontId="2" fillId="4" borderId="4" xfId="0" applyFont="1" applyFill="1" applyBorder="1" applyAlignment="1">
      <alignment horizontal="center" vertical="center"/>
    </xf>
    <xf numFmtId="0" fontId="0" fillId="4" borderId="4" xfId="0" applyFont="1" applyFill="1" applyBorder="1" applyAlignment="1">
      <alignment horizontal="center" vertical="center"/>
    </xf>
    <xf numFmtId="0" fontId="0" fillId="4" borderId="3" xfId="0" applyFont="1" applyFill="1" applyBorder="1" applyAlignment="1">
      <alignment horizontal="center" vertical="center"/>
    </xf>
    <xf numFmtId="49" fontId="22" fillId="4" borderId="11" xfId="0" applyNumberFormat="1" applyFont="1" applyFill="1" applyBorder="1" applyAlignment="1">
      <alignment horizontal="center" vertical="center"/>
    </xf>
    <xf numFmtId="49" fontId="22" fillId="4" borderId="11" xfId="0" applyNumberFormat="1" applyFont="1" applyFill="1" applyBorder="1" applyAlignment="1">
      <alignment horizontal="left" vertical="center" indent="1"/>
    </xf>
    <xf numFmtId="0" fontId="2" fillId="0" borderId="0" xfId="0" applyFont="1" applyFill="1" applyAlignment="1">
      <alignment horizontal="center" vertical="center"/>
    </xf>
    <xf numFmtId="2" fontId="49" fillId="0" borderId="0" xfId="0" applyNumberFormat="1" applyFont="1" applyFill="1" applyBorder="1" applyAlignment="1">
      <alignment horizontal="center" vertical="center" wrapText="1"/>
    </xf>
    <xf numFmtId="2" fontId="50" fillId="0" borderId="0" xfId="0" applyNumberFormat="1" applyFont="1" applyFill="1" applyBorder="1" applyAlignment="1">
      <alignment vertical="center"/>
    </xf>
    <xf numFmtId="0" fontId="17" fillId="0" borderId="0" xfId="0" applyFont="1" applyBorder="1"/>
    <xf numFmtId="2" fontId="51" fillId="0" borderId="0" xfId="0" applyNumberFormat="1" applyFont="1" applyFill="1" applyBorder="1" applyAlignment="1">
      <alignment horizontal="center"/>
    </xf>
    <xf numFmtId="2" fontId="51" fillId="0" borderId="0" xfId="0" applyNumberFormat="1" applyFont="1" applyFill="1" applyBorder="1" applyAlignment="1">
      <alignment horizontal="center" vertical="center" wrapText="1"/>
    </xf>
    <xf numFmtId="2" fontId="51" fillId="0" borderId="0" xfId="0" applyNumberFormat="1" applyFont="1" applyFill="1" applyBorder="1" applyAlignment="1">
      <alignment horizontal="left" vertical="center"/>
    </xf>
    <xf numFmtId="2" fontId="51" fillId="0" borderId="0" xfId="0" applyNumberFormat="1" applyFont="1" applyFill="1" applyBorder="1" applyAlignment="1">
      <alignment horizontal="center" vertical="center"/>
    </xf>
    <xf numFmtId="0" fontId="52" fillId="12" borderId="5" xfId="0" applyFont="1" applyFill="1" applyBorder="1" applyAlignment="1">
      <alignment horizontal="center" vertical="center"/>
    </xf>
    <xf numFmtId="0" fontId="52" fillId="12" borderId="4" xfId="0" applyFont="1" applyFill="1" applyBorder="1" applyAlignment="1">
      <alignment horizontal="center" vertical="center"/>
    </xf>
    <xf numFmtId="0" fontId="11" fillId="12" borderId="3" xfId="0" applyFont="1" applyFill="1" applyBorder="1" applyAlignment="1">
      <alignment horizontal="center" vertical="center"/>
    </xf>
    <xf numFmtId="0" fontId="0" fillId="0" borderId="0" xfId="0" applyFill="1" applyBorder="1" applyAlignment="1">
      <alignment horizontal="center" vertical="center"/>
    </xf>
    <xf numFmtId="0" fontId="21" fillId="4" borderId="2" xfId="0" applyFont="1" applyFill="1" applyBorder="1" applyAlignment="1">
      <alignment horizontal="center" vertical="center"/>
    </xf>
    <xf numFmtId="0" fontId="8" fillId="4" borderId="11" xfId="0" applyNumberFormat="1" applyFont="1" applyFill="1" applyBorder="1" applyAlignment="1">
      <alignment horizontal="center" vertical="center"/>
    </xf>
    <xf numFmtId="0" fontId="17" fillId="4" borderId="11" xfId="0" applyNumberFormat="1" applyFont="1" applyFill="1" applyBorder="1" applyAlignment="1">
      <alignment horizontal="left" vertical="center" indent="1"/>
    </xf>
    <xf numFmtId="2" fontId="26" fillId="13" borderId="0" xfId="0" applyNumberFormat="1" applyFont="1" applyFill="1" applyBorder="1" applyAlignment="1">
      <alignment horizontal="center" wrapText="1"/>
    </xf>
    <xf numFmtId="1" fontId="22" fillId="0" borderId="0" xfId="0" applyNumberFormat="1" applyFont="1" applyAlignment="1">
      <alignment horizontal="center" vertical="center"/>
    </xf>
    <xf numFmtId="1" fontId="50" fillId="0" borderId="0" xfId="0" applyNumberFormat="1" applyFont="1" applyFill="1" applyBorder="1" applyAlignment="1">
      <alignment horizontal="center" vertical="center" wrapText="1"/>
    </xf>
    <xf numFmtId="1" fontId="22" fillId="0" borderId="0" xfId="0" applyNumberFormat="1" applyFont="1" applyFill="1" applyBorder="1" applyAlignment="1">
      <alignment horizontal="center" vertical="center"/>
    </xf>
    <xf numFmtId="1" fontId="53" fillId="0" borderId="0" xfId="0" applyNumberFormat="1" applyFont="1" applyFill="1" applyBorder="1" applyAlignment="1">
      <alignment horizontal="center" vertical="center" wrapText="1"/>
    </xf>
    <xf numFmtId="1" fontId="22" fillId="0" borderId="0" xfId="0" applyNumberFormat="1" applyFont="1" applyFill="1" applyBorder="1" applyAlignment="1">
      <alignment horizontal="left" vertical="center"/>
    </xf>
    <xf numFmtId="1" fontId="53" fillId="0" borderId="9" xfId="0" applyNumberFormat="1" applyFont="1" applyFill="1" applyBorder="1" applyAlignment="1">
      <alignment horizontal="center" vertical="center" wrapText="1"/>
    </xf>
    <xf numFmtId="0" fontId="26" fillId="8" borderId="0" xfId="0" applyFont="1" applyFill="1" applyBorder="1" applyAlignment="1">
      <alignment horizontal="center"/>
    </xf>
    <xf numFmtId="0" fontId="22" fillId="11" borderId="0" xfId="0" applyFont="1" applyFill="1" applyBorder="1" applyAlignment="1">
      <alignment horizontal="center"/>
    </xf>
    <xf numFmtId="0" fontId="22" fillId="9" borderId="0" xfId="0" applyFont="1" applyFill="1" applyAlignment="1">
      <alignment horizontal="center" vertical="center"/>
    </xf>
    <xf numFmtId="0" fontId="2" fillId="4" borderId="0" xfId="0" applyNumberFormat="1" applyFont="1" applyFill="1" applyBorder="1" applyAlignment="1">
      <alignment horizontal="center" vertical="center"/>
    </xf>
    <xf numFmtId="0" fontId="11" fillId="0" borderId="2" xfId="0" applyFont="1" applyFill="1" applyBorder="1" applyAlignment="1">
      <alignment horizontal="center" vertical="center"/>
    </xf>
    <xf numFmtId="49" fontId="0" fillId="0" borderId="0" xfId="0" applyNumberFormat="1" applyFont="1" applyFill="1" applyBorder="1" applyAlignment="1">
      <alignment horizontal="center" vertical="center"/>
    </xf>
    <xf numFmtId="1" fontId="2" fillId="4" borderId="9" xfId="0" applyNumberFormat="1" applyFont="1" applyFill="1" applyBorder="1" applyAlignment="1">
      <alignment horizontal="center" vertical="center"/>
    </xf>
    <xf numFmtId="0" fontId="0" fillId="4" borderId="1" xfId="0" applyFont="1" applyFill="1" applyBorder="1" applyAlignment="1">
      <alignment horizontal="center" vertical="center"/>
    </xf>
    <xf numFmtId="0" fontId="2" fillId="4" borderId="9" xfId="0" applyFont="1" applyFill="1" applyBorder="1" applyAlignment="1">
      <alignment horizontal="center" vertical="center"/>
    </xf>
    <xf numFmtId="0" fontId="0" fillId="4" borderId="15" xfId="0" applyFont="1" applyFill="1" applyBorder="1" applyAlignment="1">
      <alignment horizontal="center" vertical="center"/>
    </xf>
    <xf numFmtId="0" fontId="8" fillId="4" borderId="2" xfId="0" applyNumberFormat="1" applyFont="1" applyFill="1" applyBorder="1" applyAlignment="1">
      <alignment horizontal="center" vertical="center"/>
    </xf>
    <xf numFmtId="0" fontId="0" fillId="0" borderId="0" xfId="0" applyFill="1" applyBorder="1" applyAlignment="1">
      <alignment horizontal="left" vertical="center"/>
    </xf>
    <xf numFmtId="0" fontId="22" fillId="0" borderId="2" xfId="0" applyFont="1" applyBorder="1" applyAlignment="1">
      <alignment horizontal="center" vertical="center"/>
    </xf>
    <xf numFmtId="0" fontId="17" fillId="0" borderId="2" xfId="0" applyFont="1" applyFill="1" applyBorder="1" applyAlignment="1">
      <alignment horizontal="center" vertical="center"/>
    </xf>
    <xf numFmtId="0" fontId="17" fillId="14" borderId="2" xfId="0" applyNumberFormat="1" applyFont="1" applyFill="1" applyBorder="1" applyAlignment="1">
      <alignment horizontal="center"/>
    </xf>
    <xf numFmtId="0" fontId="17" fillId="14" borderId="2" xfId="0" applyFont="1" applyFill="1" applyBorder="1" applyAlignment="1">
      <alignment horizontal="center"/>
    </xf>
    <xf numFmtId="0" fontId="17" fillId="0" borderId="0" xfId="0" applyFont="1" applyAlignment="1">
      <alignment horizontal="center" vertical="center"/>
    </xf>
    <xf numFmtId="0" fontId="22" fillId="15" borderId="2" xfId="0" applyFont="1" applyFill="1" applyBorder="1" applyAlignment="1">
      <alignment horizontal="center" vertical="center"/>
    </xf>
    <xf numFmtId="0" fontId="17" fillId="15" borderId="2" xfId="0" applyFont="1" applyFill="1" applyBorder="1" applyAlignment="1">
      <alignment horizontal="center" vertical="center"/>
    </xf>
    <xf numFmtId="0" fontId="54" fillId="0" borderId="0" xfId="0" applyFont="1" applyFill="1" applyAlignment="1">
      <alignment horizontal="center"/>
    </xf>
    <xf numFmtId="0" fontId="55" fillId="0" borderId="0" xfId="0" applyFont="1" applyFill="1" applyBorder="1" applyAlignment="1">
      <alignment horizontal="center"/>
    </xf>
    <xf numFmtId="0" fontId="22" fillId="0" borderId="2" xfId="0" applyFont="1" applyFill="1" applyBorder="1" applyAlignment="1">
      <alignment horizontal="center"/>
    </xf>
    <xf numFmtId="0" fontId="56" fillId="0" borderId="0" xfId="0" applyFont="1" applyFill="1" applyBorder="1" applyAlignment="1">
      <alignment horizontal="center"/>
    </xf>
    <xf numFmtId="0" fontId="22" fillId="0" borderId="9" xfId="0" applyFont="1" applyFill="1" applyBorder="1" applyAlignment="1">
      <alignment horizontal="center" vertical="center"/>
    </xf>
    <xf numFmtId="0" fontId="23" fillId="16" borderId="2" xfId="0" applyFont="1" applyFill="1" applyBorder="1" applyAlignment="1">
      <alignment horizontal="center" vertical="center"/>
    </xf>
    <xf numFmtId="0" fontId="26" fillId="17" borderId="0" xfId="0" applyFont="1" applyFill="1" applyAlignment="1">
      <alignment horizontal="center" vertical="center"/>
    </xf>
    <xf numFmtId="0" fontId="26" fillId="8" borderId="2" xfId="0" applyFont="1" applyFill="1" applyBorder="1" applyAlignment="1">
      <alignment horizontal="center" vertical="center"/>
    </xf>
    <xf numFmtId="2" fontId="8" fillId="15" borderId="0" xfId="0" applyNumberFormat="1" applyFont="1" applyFill="1" applyBorder="1" applyAlignment="1">
      <alignment horizontal="center" vertical="center"/>
    </xf>
    <xf numFmtId="2" fontId="0" fillId="0" borderId="0" xfId="0" applyNumberFormat="1" applyFont="1" applyFill="1" applyBorder="1" applyAlignment="1">
      <alignment horizontal="center" vertical="center"/>
    </xf>
    <xf numFmtId="0" fontId="49" fillId="0" borderId="0" xfId="0" applyFont="1" applyFill="1" applyBorder="1" applyAlignment="1">
      <alignment horizontal="center" vertical="center" wrapText="1"/>
    </xf>
    <xf numFmtId="1" fontId="2" fillId="4" borderId="4" xfId="0" applyNumberFormat="1" applyFont="1" applyFill="1" applyBorder="1" applyAlignment="1">
      <alignment horizontal="center" vertical="center"/>
    </xf>
    <xf numFmtId="2" fontId="7" fillId="0" borderId="0" xfId="0" applyNumberFormat="1" applyFont="1" applyFill="1" applyBorder="1" applyAlignment="1">
      <alignment horizontal="center" vertical="center"/>
    </xf>
    <xf numFmtId="0" fontId="26" fillId="8" borderId="11" xfId="0" applyFont="1" applyFill="1" applyBorder="1" applyAlignment="1">
      <alignment horizontal="center" vertical="center"/>
    </xf>
    <xf numFmtId="2" fontId="56" fillId="0" borderId="0" xfId="0" applyNumberFormat="1" applyFont="1" applyFill="1" applyBorder="1" applyAlignment="1">
      <alignment horizontal="center"/>
    </xf>
    <xf numFmtId="0" fontId="21" fillId="4" borderId="0" xfId="0" applyFont="1" applyFill="1" applyBorder="1" applyAlignment="1">
      <alignment horizontal="center" vertical="center"/>
    </xf>
    <xf numFmtId="49" fontId="0" fillId="0" borderId="0" xfId="0" applyNumberFormat="1" applyFill="1" applyBorder="1" applyAlignment="1">
      <alignment vertical="center"/>
    </xf>
    <xf numFmtId="49" fontId="0" fillId="0" borderId="0" xfId="0" applyNumberFormat="1" applyFont="1" applyFill="1" applyBorder="1" applyAlignment="1">
      <alignment vertical="center"/>
    </xf>
    <xf numFmtId="2" fontId="57" fillId="0" borderId="0" xfId="0" applyNumberFormat="1" applyFont="1" applyFill="1" applyBorder="1" applyAlignment="1">
      <alignment horizontal="center" vertical="center"/>
    </xf>
    <xf numFmtId="2" fontId="0" fillId="0" borderId="0" xfId="0" applyNumberFormat="1" applyFill="1" applyAlignment="1">
      <alignment horizontal="center" vertical="center"/>
    </xf>
    <xf numFmtId="0" fontId="8" fillId="0" borderId="0" xfId="0" applyNumberFormat="1" applyFont="1" applyFill="1" applyBorder="1" applyAlignment="1">
      <alignment horizontal="center" vertical="center"/>
    </xf>
    <xf numFmtId="0" fontId="2" fillId="19" borderId="3" xfId="0" applyNumberFormat="1" applyFont="1" applyFill="1" applyBorder="1" applyAlignment="1">
      <alignment horizontal="center" vertical="center"/>
    </xf>
    <xf numFmtId="0" fontId="0" fillId="4" borderId="0" xfId="0" applyFill="1" applyAlignment="1">
      <alignment horizontal="center" vertical="center"/>
    </xf>
    <xf numFmtId="0" fontId="7" fillId="0" borderId="2" xfId="0" applyFont="1" applyFill="1" applyBorder="1" applyAlignment="1">
      <alignment horizontal="center" vertical="center"/>
    </xf>
    <xf numFmtId="0" fontId="17" fillId="4" borderId="4" xfId="0" applyFont="1" applyFill="1" applyBorder="1" applyAlignment="1">
      <alignment horizontal="center" vertical="center"/>
    </xf>
    <xf numFmtId="0" fontId="17" fillId="20" borderId="4" xfId="0" applyFont="1" applyFill="1" applyBorder="1" applyAlignment="1">
      <alignment horizontal="center" vertical="center"/>
    </xf>
    <xf numFmtId="0" fontId="0" fillId="20" borderId="0" xfId="0" applyFont="1" applyFill="1" applyAlignment="1">
      <alignment horizontal="center" vertical="center"/>
    </xf>
    <xf numFmtId="0" fontId="22" fillId="21" borderId="0" xfId="0" applyFont="1" applyFill="1" applyAlignment="1">
      <alignment horizontal="center" vertical="center"/>
    </xf>
    <xf numFmtId="2" fontId="22" fillId="4" borderId="2" xfId="0" applyNumberFormat="1" applyFont="1" applyFill="1" applyBorder="1" applyAlignment="1">
      <alignment horizontal="center" vertical="center"/>
    </xf>
    <xf numFmtId="0" fontId="22" fillId="4" borderId="0" xfId="0" applyNumberFormat="1" applyFont="1" applyFill="1" applyBorder="1" applyAlignment="1">
      <alignment horizontal="center" vertical="center"/>
    </xf>
    <xf numFmtId="0" fontId="34" fillId="0" borderId="10" xfId="0" applyFont="1" applyBorder="1" applyAlignment="1">
      <alignment horizontal="center" vertical="center"/>
    </xf>
    <xf numFmtId="0" fontId="17" fillId="0" borderId="10" xfId="0" applyFont="1" applyFill="1" applyBorder="1" applyAlignment="1">
      <alignment horizontal="center" vertical="center"/>
    </xf>
    <xf numFmtId="0" fontId="17" fillId="0" borderId="10" xfId="0" applyFont="1" applyBorder="1"/>
    <xf numFmtId="0" fontId="17" fillId="0" borderId="10" xfId="0" applyFont="1" applyBorder="1" applyAlignment="1">
      <alignment horizontal="center" vertical="center"/>
    </xf>
    <xf numFmtId="0" fontId="17" fillId="0" borderId="0" xfId="0" applyFont="1" applyFill="1"/>
    <xf numFmtId="0" fontId="34" fillId="0" borderId="9" xfId="0" applyFont="1" applyBorder="1" applyAlignment="1">
      <alignment horizontal="center" vertical="center"/>
    </xf>
    <xf numFmtId="0" fontId="34" fillId="0" borderId="0" xfId="0" applyFont="1" applyBorder="1" applyAlignment="1">
      <alignment horizontal="center" vertical="center"/>
    </xf>
    <xf numFmtId="0" fontId="17" fillId="0" borderId="10" xfId="0" applyFont="1" applyBorder="1" applyAlignment="1">
      <alignment horizontal="center"/>
    </xf>
    <xf numFmtId="0" fontId="17" fillId="0" borderId="13" xfId="0" applyFont="1" applyBorder="1"/>
    <xf numFmtId="0" fontId="17" fillId="4" borderId="0" xfId="0" applyFont="1" applyFill="1" applyAlignment="1">
      <alignment horizontal="left" vertical="center"/>
    </xf>
    <xf numFmtId="0" fontId="17" fillId="4" borderId="0" xfId="0" applyFont="1" applyFill="1" applyBorder="1" applyAlignment="1">
      <alignment horizontal="left" vertical="center"/>
    </xf>
    <xf numFmtId="49" fontId="17" fillId="4" borderId="0" xfId="0" applyNumberFormat="1" applyFont="1" applyFill="1" applyBorder="1" applyAlignment="1">
      <alignment horizontal="center" vertical="center"/>
    </xf>
    <xf numFmtId="0" fontId="22" fillId="4" borderId="0" xfId="0" applyNumberFormat="1" applyFont="1" applyFill="1" applyBorder="1" applyAlignment="1">
      <alignment horizontal="left" vertical="center"/>
    </xf>
    <xf numFmtId="0" fontId="12" fillId="0" borderId="0" xfId="0" applyFont="1" applyFill="1" applyBorder="1" applyAlignment="1">
      <alignment horizontal="center" vertical="center"/>
    </xf>
    <xf numFmtId="0" fontId="12" fillId="0" borderId="9" xfId="0" applyFont="1" applyFill="1" applyBorder="1" applyAlignment="1">
      <alignment horizontal="center" vertical="center"/>
    </xf>
    <xf numFmtId="2" fontId="53" fillId="0" borderId="0" xfId="0" applyNumberFormat="1" applyFont="1" applyFill="1" applyBorder="1" applyAlignment="1">
      <alignment horizontal="center"/>
    </xf>
    <xf numFmtId="3" fontId="17" fillId="0" borderId="0" xfId="0" applyNumberFormat="1" applyFont="1"/>
    <xf numFmtId="0" fontId="17" fillId="0" borderId="0" xfId="0" applyFont="1" applyBorder="1" applyAlignment="1">
      <alignment horizontal="center" vertical="center"/>
    </xf>
    <xf numFmtId="2" fontId="38" fillId="4" borderId="5" xfId="0" applyNumberFormat="1" applyFont="1" applyFill="1" applyBorder="1" applyAlignment="1">
      <alignment horizontal="center" vertical="center"/>
    </xf>
    <xf numFmtId="0" fontId="41" fillId="4" borderId="2" xfId="0" applyNumberFormat="1" applyFont="1" applyFill="1" applyBorder="1" applyAlignment="1">
      <alignment horizontal="center" vertical="center"/>
    </xf>
    <xf numFmtId="0" fontId="17" fillId="0" borderId="0" xfId="0" applyFont="1" applyFill="1" applyAlignment="1">
      <alignment horizontal="center" vertical="center"/>
    </xf>
    <xf numFmtId="0" fontId="17" fillId="0" borderId="9" xfId="0" applyFont="1" applyFill="1" applyBorder="1" applyAlignment="1">
      <alignment horizontal="center"/>
    </xf>
    <xf numFmtId="0" fontId="17" fillId="0" borderId="0" xfId="0" applyFont="1" applyFill="1" applyAlignment="1">
      <alignment horizontal="center"/>
    </xf>
    <xf numFmtId="49" fontId="0" fillId="4" borderId="0" xfId="0" applyNumberFormat="1" applyFont="1" applyFill="1" applyBorder="1" applyAlignment="1">
      <alignment horizontal="center" vertical="center"/>
    </xf>
    <xf numFmtId="0" fontId="2" fillId="4" borderId="0" xfId="0" applyNumberFormat="1" applyFont="1" applyFill="1" applyBorder="1" applyAlignment="1">
      <alignment horizontal="left" vertical="center"/>
    </xf>
    <xf numFmtId="1" fontId="22" fillId="4" borderId="11" xfId="0" applyNumberFormat="1" applyFont="1" applyFill="1" applyBorder="1" applyAlignment="1">
      <alignment horizontal="center" vertical="center"/>
    </xf>
    <xf numFmtId="0" fontId="22" fillId="4" borderId="5" xfId="0" applyFont="1" applyFill="1" applyBorder="1" applyAlignment="1">
      <alignment horizontal="left" vertical="center" indent="1"/>
    </xf>
    <xf numFmtId="0" fontId="17" fillId="4" borderId="4" xfId="0" applyFont="1" applyFill="1" applyBorder="1"/>
    <xf numFmtId="0" fontId="26" fillId="4" borderId="3" xfId="0" applyFont="1" applyFill="1" applyBorder="1" applyAlignment="1">
      <alignment horizontal="right" vertical="center" indent="1"/>
    </xf>
    <xf numFmtId="0" fontId="17" fillId="11" borderId="0" xfId="0" applyFont="1" applyFill="1"/>
    <xf numFmtId="1" fontId="22" fillId="0" borderId="2" xfId="0" applyNumberFormat="1" applyFont="1" applyBorder="1" applyAlignment="1">
      <alignment horizontal="center" vertical="center"/>
    </xf>
    <xf numFmtId="1" fontId="50" fillId="0" borderId="2" xfId="0" applyNumberFormat="1" applyFont="1" applyFill="1" applyBorder="1" applyAlignment="1">
      <alignment horizontal="center" vertical="center" wrapText="1"/>
    </xf>
    <xf numFmtId="1" fontId="22" fillId="0" borderId="2" xfId="0" applyNumberFormat="1" applyFont="1" applyFill="1" applyBorder="1" applyAlignment="1">
      <alignment horizontal="center" vertical="center"/>
    </xf>
    <xf numFmtId="1" fontId="15" fillId="0" borderId="0" xfId="0" applyNumberFormat="1" applyFont="1" applyFill="1" applyBorder="1" applyAlignment="1">
      <alignment horizontal="center" vertical="center"/>
    </xf>
    <xf numFmtId="0" fontId="0" fillId="4" borderId="11" xfId="0" applyFont="1" applyFill="1" applyBorder="1" applyAlignment="1">
      <alignment horizontal="center" vertical="center"/>
    </xf>
    <xf numFmtId="0" fontId="0" fillId="4" borderId="14" xfId="0" applyFont="1" applyFill="1" applyBorder="1" applyAlignment="1">
      <alignment horizontal="center" vertical="center"/>
    </xf>
    <xf numFmtId="1" fontId="22" fillId="4" borderId="4" xfId="0" applyNumberFormat="1" applyFont="1" applyFill="1" applyBorder="1" applyAlignment="1">
      <alignment vertical="center"/>
    </xf>
    <xf numFmtId="1" fontId="22" fillId="4" borderId="4" xfId="0" applyNumberFormat="1" applyFont="1" applyFill="1" applyBorder="1" applyAlignment="1">
      <alignment horizontal="right" vertical="center"/>
    </xf>
    <xf numFmtId="2" fontId="26" fillId="4" borderId="3" xfId="0" applyNumberFormat="1" applyFont="1" applyFill="1" applyBorder="1" applyAlignment="1">
      <alignment horizontal="center" vertical="center"/>
    </xf>
    <xf numFmtId="0" fontId="1" fillId="22" borderId="0" xfId="0" applyFont="1" applyFill="1" applyBorder="1" applyAlignment="1">
      <alignment horizontal="center" vertical="center"/>
    </xf>
    <xf numFmtId="0" fontId="17" fillId="0" borderId="0" xfId="0" applyFont="1" applyAlignment="1">
      <alignment horizontal="center"/>
    </xf>
    <xf numFmtId="0" fontId="17" fillId="0" borderId="11" xfId="0" applyFont="1" applyFill="1" applyBorder="1" applyAlignment="1">
      <alignment horizontal="center" vertical="center"/>
    </xf>
    <xf numFmtId="0" fontId="17" fillId="14" borderId="11" xfId="0" applyFont="1" applyFill="1" applyBorder="1" applyAlignment="1">
      <alignment horizontal="center"/>
    </xf>
    <xf numFmtId="0" fontId="22" fillId="4" borderId="9" xfId="0" applyFont="1" applyFill="1" applyBorder="1" applyAlignment="1">
      <alignment horizontal="left" vertical="center" indent="1"/>
    </xf>
    <xf numFmtId="0" fontId="17" fillId="4" borderId="0" xfId="0" applyFont="1" applyFill="1" applyBorder="1" applyAlignment="1">
      <alignment vertical="center"/>
    </xf>
    <xf numFmtId="0" fontId="17" fillId="4" borderId="0" xfId="0" applyFont="1" applyFill="1" applyBorder="1"/>
    <xf numFmtId="0" fontId="17" fillId="4" borderId="15" xfId="0" applyFont="1" applyFill="1" applyBorder="1"/>
    <xf numFmtId="2" fontId="12" fillId="4" borderId="2" xfId="0" applyNumberFormat="1" applyFont="1" applyFill="1" applyBorder="1" applyAlignment="1">
      <alignment horizontal="center" vertical="center"/>
    </xf>
    <xf numFmtId="0" fontId="21" fillId="0" borderId="0" xfId="0" applyFont="1" applyFill="1" applyBorder="1" applyAlignment="1">
      <alignment horizontal="left" vertical="center"/>
    </xf>
    <xf numFmtId="0" fontId="21" fillId="4" borderId="2" xfId="0" applyFont="1" applyFill="1" applyBorder="1" applyAlignment="1">
      <alignment horizontal="left" vertical="center"/>
    </xf>
    <xf numFmtId="0" fontId="22" fillId="10" borderId="0" xfId="0" applyFont="1" applyFill="1" applyBorder="1" applyAlignment="1">
      <alignment horizontal="center" vertical="center"/>
    </xf>
    <xf numFmtId="2" fontId="21" fillId="4" borderId="2" xfId="0" applyNumberFormat="1" applyFont="1" applyFill="1" applyBorder="1" applyAlignment="1">
      <alignment horizontal="center" vertical="center"/>
    </xf>
    <xf numFmtId="0" fontId="22" fillId="11" borderId="0" xfId="0" applyFont="1" applyFill="1" applyAlignment="1">
      <alignment horizontal="center" vertical="center"/>
    </xf>
    <xf numFmtId="0" fontId="21" fillId="20" borderId="0" xfId="0" applyFont="1" applyFill="1" applyBorder="1" applyAlignment="1">
      <alignment horizontal="center" vertical="center"/>
    </xf>
    <xf numFmtId="0" fontId="22" fillId="4" borderId="4" xfId="0" applyFont="1" applyFill="1" applyBorder="1" applyAlignment="1">
      <alignment vertical="center"/>
    </xf>
    <xf numFmtId="0" fontId="34" fillId="0" borderId="0" xfId="0" applyFont="1" applyFill="1" applyBorder="1" applyAlignment="1">
      <alignment horizontal="center" vertical="center"/>
    </xf>
    <xf numFmtId="2" fontId="22" fillId="0" borderId="0" xfId="0" applyNumberFormat="1" applyFont="1" applyFill="1" applyBorder="1" applyAlignment="1">
      <alignment horizontal="center" vertical="center"/>
    </xf>
    <xf numFmtId="0" fontId="60" fillId="0" borderId="0" xfId="0" applyFont="1" applyFill="1" applyBorder="1" applyAlignment="1">
      <alignment horizontal="center" vertical="center"/>
    </xf>
    <xf numFmtId="0" fontId="2" fillId="20" borderId="0" xfId="0" applyNumberFormat="1" applyFont="1" applyFill="1" applyBorder="1" applyAlignment="1">
      <alignment horizontal="center" vertical="center"/>
    </xf>
    <xf numFmtId="0" fontId="2" fillId="12" borderId="0" xfId="0" applyNumberFormat="1" applyFont="1" applyFill="1" applyBorder="1" applyAlignment="1">
      <alignment horizontal="center" vertical="center"/>
    </xf>
    <xf numFmtId="0" fontId="0" fillId="0" borderId="0" xfId="0" applyFont="1" applyBorder="1" applyAlignment="1">
      <alignment vertical="center"/>
    </xf>
    <xf numFmtId="0" fontId="2" fillId="9" borderId="0" xfId="0" applyNumberFormat="1" applyFont="1" applyFill="1" applyBorder="1" applyAlignment="1">
      <alignment horizontal="center" vertical="center"/>
    </xf>
    <xf numFmtId="0" fontId="0" fillId="0" borderId="0" xfId="0" applyFont="1" applyFill="1" applyBorder="1" applyAlignment="1">
      <alignment vertical="center"/>
    </xf>
    <xf numFmtId="0" fontId="33" fillId="22" borderId="0" xfId="0" applyFont="1" applyFill="1" applyAlignment="1">
      <alignment horizontal="center" vertical="center"/>
    </xf>
    <xf numFmtId="0" fontId="8" fillId="15" borderId="0" xfId="0" applyNumberFormat="1" applyFont="1" applyFill="1" applyBorder="1" applyAlignment="1">
      <alignment horizontal="center" vertical="center"/>
    </xf>
    <xf numFmtId="1" fontId="22" fillId="4" borderId="1" xfId="0" applyNumberFormat="1" applyFont="1" applyFill="1" applyBorder="1" applyAlignment="1">
      <alignment horizontal="center" vertical="center"/>
    </xf>
    <xf numFmtId="0" fontId="22" fillId="4" borderId="6" xfId="0" applyFont="1" applyFill="1" applyBorder="1" applyAlignment="1">
      <alignment horizontal="left" vertical="center" indent="1"/>
    </xf>
    <xf numFmtId="0" fontId="0" fillId="2" borderId="0" xfId="0" applyFont="1" applyFill="1" applyAlignment="1">
      <alignment horizontal="center" vertical="center"/>
    </xf>
    <xf numFmtId="0" fontId="9" fillId="2" borderId="0" xfId="0" applyFont="1" applyFill="1" applyBorder="1" applyAlignment="1">
      <alignment horizontal="center" vertical="center"/>
    </xf>
    <xf numFmtId="0" fontId="22" fillId="4" borderId="13" xfId="0" applyFont="1" applyFill="1" applyBorder="1" applyAlignment="1">
      <alignment horizontal="left" vertical="center" indent="1"/>
    </xf>
    <xf numFmtId="0" fontId="22" fillId="0" borderId="0" xfId="0" applyNumberFormat="1" applyFont="1" applyFill="1" applyBorder="1" applyAlignment="1">
      <alignment horizontal="center" vertical="center"/>
    </xf>
    <xf numFmtId="0" fontId="22" fillId="4" borderId="0" xfId="0" applyFont="1" applyFill="1" applyBorder="1" applyAlignment="1">
      <alignment horizontal="left" vertical="center" indent="1"/>
    </xf>
    <xf numFmtId="0" fontId="0" fillId="0" borderId="0" xfId="0" applyFont="1" applyFill="1" applyAlignment="1">
      <alignment horizontal="right" vertical="center"/>
    </xf>
    <xf numFmtId="0" fontId="17" fillId="0" borderId="0" xfId="0" applyFont="1" applyFill="1" applyBorder="1" applyAlignment="1">
      <alignment vertical="center" wrapText="1"/>
    </xf>
    <xf numFmtId="2" fontId="21" fillId="4" borderId="2" xfId="0" applyNumberFormat="1" applyFont="1" applyFill="1" applyBorder="1" applyAlignment="1">
      <alignment horizontal="left" vertical="center"/>
    </xf>
    <xf numFmtId="0" fontId="2" fillId="15" borderId="0" xfId="0" applyFont="1" applyFill="1" applyAlignment="1">
      <alignment horizontal="left" vertical="center"/>
    </xf>
    <xf numFmtId="0" fontId="17" fillId="0" borderId="0" xfId="0" applyFont="1" applyFill="1" applyBorder="1" applyAlignment="1">
      <alignment vertical="center"/>
    </xf>
    <xf numFmtId="0" fontId="2" fillId="7" borderId="0" xfId="0" applyNumberFormat="1" applyFont="1" applyFill="1" applyBorder="1" applyAlignment="1">
      <alignment horizontal="center" vertical="center"/>
    </xf>
    <xf numFmtId="2" fontId="7" fillId="0" borderId="0" xfId="0" applyNumberFormat="1" applyFont="1" applyFill="1" applyAlignment="1">
      <alignment horizontal="center" vertical="center"/>
    </xf>
    <xf numFmtId="2" fontId="2" fillId="0" borderId="0" xfId="0" applyNumberFormat="1" applyFont="1" applyFill="1" applyAlignment="1">
      <alignment horizontal="center" vertical="center"/>
    </xf>
    <xf numFmtId="0" fontId="0" fillId="0" borderId="0" xfId="0" applyFill="1" applyAlignment="1">
      <alignment horizontal="left" vertical="center"/>
    </xf>
    <xf numFmtId="0" fontId="0" fillId="0" borderId="0" xfId="0" applyFont="1" applyFill="1" applyAlignment="1">
      <alignment horizontal="left" vertical="center"/>
    </xf>
    <xf numFmtId="0" fontId="1" fillId="22" borderId="0" xfId="0" applyFont="1" applyFill="1" applyAlignment="1">
      <alignment horizontal="center" vertical="center"/>
    </xf>
    <xf numFmtId="0" fontId="0" fillId="11" borderId="0" xfId="0" applyFont="1" applyFill="1" applyBorder="1" applyAlignment="1">
      <alignment vertical="center"/>
    </xf>
    <xf numFmtId="0" fontId="0" fillId="0" borderId="0" xfId="0" applyAlignment="1">
      <alignment horizontal="left" vertical="center"/>
    </xf>
    <xf numFmtId="0" fontId="0" fillId="0" borderId="0" xfId="0" applyFont="1" applyFill="1" applyBorder="1" applyAlignment="1">
      <alignment horizontal="left" vertical="center"/>
    </xf>
    <xf numFmtId="0" fontId="17" fillId="0" borderId="0" xfId="0" applyFont="1" applyAlignment="1">
      <alignment horizontal="right"/>
    </xf>
    <xf numFmtId="0" fontId="62" fillId="0" borderId="0" xfId="0" applyFont="1" applyFill="1" applyBorder="1" applyAlignment="1">
      <alignment horizontal="center" vertical="center"/>
    </xf>
    <xf numFmtId="0" fontId="62" fillId="0" borderId="0" xfId="0" applyFont="1" applyAlignment="1">
      <alignment horizontal="center" vertical="center"/>
    </xf>
    <xf numFmtId="0" fontId="0" fillId="23" borderId="0" xfId="0" applyFont="1" applyFill="1" applyAlignment="1">
      <alignment horizontal="center" vertical="center"/>
    </xf>
    <xf numFmtId="0" fontId="17" fillId="15" borderId="0" xfId="0" applyFont="1" applyFill="1" applyAlignment="1">
      <alignment horizontal="right"/>
    </xf>
    <xf numFmtId="0" fontId="17" fillId="15" borderId="0" xfId="0" applyFont="1" applyFill="1"/>
    <xf numFmtId="0" fontId="0" fillId="24" borderId="0" xfId="0" applyFont="1" applyFill="1" applyAlignment="1">
      <alignment horizontal="center" vertical="center"/>
    </xf>
    <xf numFmtId="0" fontId="0" fillId="11" borderId="0" xfId="0" applyFont="1" applyFill="1" applyAlignment="1">
      <alignment horizontal="center" vertical="center"/>
    </xf>
    <xf numFmtId="0" fontId="0" fillId="9" borderId="0" xfId="0" applyFont="1" applyFill="1" applyAlignment="1">
      <alignment horizontal="center" vertical="center"/>
    </xf>
    <xf numFmtId="0" fontId="34" fillId="0" borderId="0" xfId="0" applyFont="1"/>
    <xf numFmtId="0" fontId="22" fillId="0" borderId="0" xfId="0" applyFont="1" applyAlignment="1">
      <alignment horizontal="center" vertical="center"/>
    </xf>
    <xf numFmtId="0" fontId="26" fillId="6" borderId="0" xfId="0" applyFont="1" applyFill="1"/>
    <xf numFmtId="0" fontId="12" fillId="0" borderId="2" xfId="0" applyFont="1" applyBorder="1" applyAlignment="1">
      <alignment horizontal="center" vertical="center"/>
    </xf>
    <xf numFmtId="0" fontId="1" fillId="0" borderId="0" xfId="0" applyFont="1" applyFill="1" applyBorder="1" applyAlignment="1">
      <alignment horizontal="center" vertical="center"/>
    </xf>
    <xf numFmtId="0" fontId="26" fillId="22" borderId="0" xfId="0" applyFont="1" applyFill="1" applyAlignment="1">
      <alignment horizontal="center" vertical="center"/>
    </xf>
    <xf numFmtId="49" fontId="0" fillId="0" borderId="0" xfId="0" applyNumberFormat="1" applyFont="1" applyFill="1" applyBorder="1" applyAlignment="1">
      <alignment horizontal="left" vertical="center"/>
    </xf>
    <xf numFmtId="0" fontId="0" fillId="0" borderId="0" xfId="0" applyNumberFormat="1" applyFill="1" applyBorder="1" applyAlignment="1">
      <alignment horizontal="left" vertical="center"/>
    </xf>
    <xf numFmtId="0" fontId="0" fillId="4" borderId="0" xfId="0" applyNumberFormat="1" applyFont="1" applyFill="1" applyBorder="1" applyAlignment="1">
      <alignment horizontal="center" vertical="center"/>
    </xf>
    <xf numFmtId="0" fontId="57" fillId="0" borderId="0" xfId="0" applyNumberFormat="1" applyFont="1" applyFill="1" applyBorder="1" applyAlignment="1">
      <alignment horizontal="center" vertical="center"/>
    </xf>
    <xf numFmtId="0" fontId="0" fillId="0" borderId="0" xfId="0" applyNumberFormat="1" applyFont="1" applyBorder="1" applyAlignment="1">
      <alignment horizontal="center" vertical="center"/>
    </xf>
    <xf numFmtId="0" fontId="0" fillId="0" borderId="0" xfId="0" applyNumberFormat="1" applyFont="1" applyFill="1" applyAlignment="1">
      <alignment horizontal="center" vertical="center"/>
    </xf>
    <xf numFmtId="0" fontId="63" fillId="0" borderId="0" xfId="0" applyFont="1" applyFill="1" applyBorder="1" applyAlignment="1">
      <alignment vertical="center"/>
    </xf>
    <xf numFmtId="0" fontId="3" fillId="0" borderId="0" xfId="0" applyFont="1" applyFill="1" applyBorder="1" applyAlignment="1"/>
    <xf numFmtId="0" fontId="64" fillId="0" borderId="0" xfId="0" applyFont="1" applyFill="1" applyBorder="1"/>
    <xf numFmtId="0" fontId="0" fillId="0" borderId="0" xfId="0" applyNumberFormat="1" applyFill="1" applyBorder="1" applyAlignment="1">
      <alignment horizontal="center" vertical="center"/>
    </xf>
    <xf numFmtId="0" fontId="2" fillId="0" borderId="0" xfId="0" applyNumberFormat="1" applyFont="1" applyAlignment="1">
      <alignment horizontal="center" vertical="center"/>
    </xf>
    <xf numFmtId="0" fontId="2" fillId="0" borderId="0" xfId="0" applyNumberFormat="1" applyFont="1" applyAlignment="1">
      <alignment horizontal="left" vertical="center"/>
    </xf>
    <xf numFmtId="1" fontId="3" fillId="0" borderId="0" xfId="0" applyNumberFormat="1" applyFont="1" applyFill="1" applyBorder="1" applyAlignment="1">
      <alignment vertical="center"/>
    </xf>
    <xf numFmtId="0" fontId="64" fillId="0" borderId="0" xfId="0" applyFont="1" applyFill="1" applyBorder="1" applyAlignment="1">
      <alignment vertical="center"/>
    </xf>
    <xf numFmtId="0" fontId="8" fillId="0" borderId="0" xfId="0" applyNumberFormat="1" applyFont="1" applyFill="1" applyBorder="1" applyAlignment="1">
      <alignment horizontal="left" vertical="center"/>
    </xf>
    <xf numFmtId="2" fontId="0" fillId="0" borderId="0" xfId="0" applyNumberFormat="1" applyFont="1" applyAlignment="1">
      <alignment horizontal="center" vertical="center"/>
    </xf>
    <xf numFmtId="49" fontId="0" fillId="0" borderId="0" xfId="0" applyNumberFormat="1" applyFont="1" applyAlignment="1">
      <alignment horizontal="right" vertical="center"/>
    </xf>
    <xf numFmtId="0" fontId="3" fillId="0" borderId="0" xfId="0" applyFont="1" applyFill="1" applyBorder="1" applyAlignment="1">
      <alignment vertical="center"/>
    </xf>
    <xf numFmtId="1" fontId="3" fillId="0" borderId="0" xfId="0" applyNumberFormat="1" applyFont="1" applyFill="1" applyBorder="1" applyAlignment="1">
      <alignment horizontal="center" vertical="center"/>
    </xf>
    <xf numFmtId="0" fontId="3" fillId="0" borderId="0" xfId="0" applyFont="1" applyFill="1" applyBorder="1" applyAlignment="1">
      <alignment horizontal="left" vertical="center" indent="1"/>
    </xf>
    <xf numFmtId="0" fontId="64" fillId="0" borderId="0" xfId="0" applyFont="1" applyFill="1" applyBorder="1" applyAlignment="1">
      <alignment horizontal="center" vertical="center"/>
    </xf>
    <xf numFmtId="49" fontId="0" fillId="0" borderId="0" xfId="0" applyNumberFormat="1" applyFill="1" applyBorder="1" applyAlignment="1">
      <alignment horizontal="left" vertical="center"/>
    </xf>
    <xf numFmtId="49" fontId="0" fillId="0" borderId="0" xfId="0" applyNumberFormat="1" applyFill="1" applyBorder="1" applyAlignment="1">
      <alignment horizontal="center" vertical="center"/>
    </xf>
    <xf numFmtId="1" fontId="3" fillId="0" borderId="0" xfId="0" applyNumberFormat="1" applyFont="1" applyFill="1" applyBorder="1" applyAlignment="1">
      <alignment horizontal="left" vertical="center" indent="1"/>
    </xf>
    <xf numFmtId="0" fontId="2" fillId="9" borderId="5" xfId="0" applyFont="1" applyFill="1" applyBorder="1" applyAlignment="1">
      <alignment horizontal="left" vertical="center"/>
    </xf>
    <xf numFmtId="0" fontId="2" fillId="10" borderId="5" xfId="0" applyFont="1" applyFill="1" applyBorder="1" applyAlignment="1">
      <alignment horizontal="left" vertical="center"/>
    </xf>
    <xf numFmtId="0" fontId="2" fillId="11" borderId="5" xfId="0" applyFont="1" applyFill="1" applyBorder="1" applyAlignment="1">
      <alignment horizontal="left" vertical="center"/>
    </xf>
    <xf numFmtId="0" fontId="23" fillId="4" borderId="2" xfId="0" applyFont="1" applyFill="1" applyBorder="1" applyAlignment="1" applyProtection="1">
      <alignment horizontal="center" vertical="center"/>
      <protection locked="0"/>
    </xf>
    <xf numFmtId="0" fontId="8" fillId="4" borderId="0" xfId="0" applyNumberFormat="1" applyFont="1" applyFill="1" applyBorder="1" applyAlignment="1">
      <alignment horizontal="center" vertical="center"/>
    </xf>
    <xf numFmtId="2" fontId="65" fillId="4" borderId="2" xfId="0" applyNumberFormat="1" applyFont="1" applyFill="1" applyBorder="1" applyAlignment="1" applyProtection="1">
      <alignment horizontal="center" vertical="center"/>
    </xf>
    <xf numFmtId="0" fontId="22" fillId="4" borderId="15" xfId="0" applyFont="1" applyFill="1" applyBorder="1" applyAlignment="1">
      <alignment horizontal="left" vertical="center" indent="1"/>
    </xf>
    <xf numFmtId="0" fontId="23" fillId="4" borderId="11" xfId="0" applyFont="1" applyFill="1" applyBorder="1" applyAlignment="1" applyProtection="1">
      <alignment horizontal="center" vertical="center"/>
      <protection locked="0"/>
    </xf>
    <xf numFmtId="0" fontId="17" fillId="4" borderId="10" xfId="0" applyFont="1" applyFill="1" applyBorder="1"/>
    <xf numFmtId="0" fontId="26" fillId="4" borderId="14" xfId="0" applyFont="1" applyFill="1" applyBorder="1" applyAlignment="1">
      <alignment horizontal="right" vertical="center" indent="1"/>
    </xf>
    <xf numFmtId="0" fontId="12" fillId="4" borderId="2" xfId="0" applyFont="1" applyFill="1" applyBorder="1" applyAlignment="1">
      <alignment horizontal="center" vertical="center"/>
    </xf>
    <xf numFmtId="0" fontId="34" fillId="4" borderId="11" xfId="0" applyNumberFormat="1" applyFont="1" applyFill="1" applyBorder="1" applyAlignment="1">
      <alignment horizontal="center" vertical="center"/>
    </xf>
    <xf numFmtId="0" fontId="26" fillId="0" borderId="0" xfId="0" applyFont="1" applyFill="1" applyBorder="1" applyAlignment="1">
      <alignment vertical="center"/>
    </xf>
    <xf numFmtId="0" fontId="26" fillId="0" borderId="0" xfId="0" applyFont="1" applyFill="1" applyBorder="1" applyAlignment="1">
      <alignment horizontal="right" vertical="center"/>
    </xf>
    <xf numFmtId="1" fontId="22" fillId="0" borderId="0" xfId="0" applyNumberFormat="1" applyFont="1" applyFill="1" applyBorder="1" applyAlignment="1">
      <alignment vertical="center"/>
    </xf>
    <xf numFmtId="0" fontId="22" fillId="0" borderId="0" xfId="0" applyFont="1" applyFill="1" applyBorder="1" applyAlignment="1">
      <alignment horizontal="left" vertical="center" indent="1"/>
    </xf>
    <xf numFmtId="0" fontId="22" fillId="0" borderId="0" xfId="0" applyFont="1" applyFill="1" applyBorder="1" applyAlignment="1"/>
    <xf numFmtId="1" fontId="22" fillId="0" borderId="0" xfId="0" applyNumberFormat="1" applyFont="1" applyFill="1" applyBorder="1" applyAlignment="1">
      <alignment horizontal="right" vertical="center"/>
    </xf>
    <xf numFmtId="0" fontId="22" fillId="0" borderId="0" xfId="0" applyFont="1" applyFill="1" applyBorder="1" applyAlignment="1">
      <alignment vertical="center"/>
    </xf>
    <xf numFmtId="1" fontId="22" fillId="0" borderId="0" xfId="0" applyNumberFormat="1" applyFont="1" applyFill="1" applyBorder="1" applyAlignment="1">
      <alignment horizontal="left" vertical="center" indent="1"/>
    </xf>
    <xf numFmtId="0" fontId="0" fillId="0" borderId="0" xfId="0" applyFont="1" applyAlignment="1">
      <alignment horizontal="center" vertical="center"/>
    </xf>
    <xf numFmtId="0" fontId="22" fillId="4" borderId="9" xfId="0" applyFont="1" applyFill="1" applyBorder="1" applyAlignment="1">
      <alignment horizontal="center" vertical="center"/>
    </xf>
    <xf numFmtId="0" fontId="22" fillId="4" borderId="6" xfId="0" applyFont="1" applyFill="1" applyBorder="1" applyAlignment="1">
      <alignment horizontal="center" vertical="center"/>
    </xf>
    <xf numFmtId="0" fontId="22" fillId="4" borderId="13" xfId="0" applyFont="1" applyFill="1" applyBorder="1" applyAlignment="1">
      <alignment horizontal="center" vertical="center"/>
    </xf>
    <xf numFmtId="0" fontId="17" fillId="0" borderId="0" xfId="0" applyFont="1" applyFill="1" applyBorder="1" applyAlignment="1">
      <alignment horizontal="center" vertical="center"/>
    </xf>
    <xf numFmtId="0" fontId="22" fillId="0" borderId="0" xfId="0" applyFont="1" applyFill="1" applyBorder="1" applyAlignment="1">
      <alignment horizontal="left" vertical="center"/>
    </xf>
    <xf numFmtId="0" fontId="40" fillId="4" borderId="0" xfId="0" applyFont="1" applyFill="1" applyBorder="1" applyAlignment="1">
      <alignment horizontal="left" vertical="center" indent="1"/>
    </xf>
    <xf numFmtId="0" fontId="17" fillId="0" borderId="0" xfId="0" applyFont="1" applyFill="1" applyBorder="1" applyAlignment="1">
      <alignment horizontal="center" vertical="center"/>
    </xf>
    <xf numFmtId="0" fontId="22" fillId="4" borderId="6" xfId="0" applyFont="1" applyFill="1" applyBorder="1" applyAlignment="1">
      <alignment horizontal="center" vertical="center"/>
    </xf>
    <xf numFmtId="0" fontId="22" fillId="4" borderId="9" xfId="0" applyFont="1" applyFill="1" applyBorder="1" applyAlignment="1">
      <alignment horizontal="center" vertical="center"/>
    </xf>
    <xf numFmtId="0" fontId="22" fillId="4" borderId="13" xfId="0" applyFont="1" applyFill="1" applyBorder="1" applyAlignment="1">
      <alignment horizontal="center" vertical="center"/>
    </xf>
    <xf numFmtId="0" fontId="0" fillId="0" borderId="0" xfId="0" applyFont="1" applyAlignment="1">
      <alignment horizontal="center" vertical="center"/>
    </xf>
    <xf numFmtId="49" fontId="22" fillId="4" borderId="5" xfId="0" applyNumberFormat="1" applyFont="1" applyFill="1" applyBorder="1" applyAlignment="1" applyProtection="1">
      <alignment vertical="center"/>
    </xf>
    <xf numFmtId="49" fontId="22" fillId="4" borderId="11" xfId="0" applyNumberFormat="1" applyFont="1" applyFill="1" applyBorder="1" applyAlignment="1" applyProtection="1">
      <alignment horizontal="center" vertical="center"/>
    </xf>
    <xf numFmtId="0" fontId="17" fillId="4" borderId="0" xfId="0" applyFont="1" applyFill="1" applyBorder="1" applyAlignment="1" applyProtection="1">
      <alignment horizontal="center" vertical="center"/>
    </xf>
    <xf numFmtId="49" fontId="22" fillId="4" borderId="11" xfId="0" applyNumberFormat="1" applyFont="1" applyFill="1" applyBorder="1" applyAlignment="1" applyProtection="1">
      <alignment horizontal="left" vertical="center" indent="1"/>
    </xf>
    <xf numFmtId="49" fontId="22" fillId="4" borderId="2" xfId="0" applyNumberFormat="1" applyFont="1" applyFill="1" applyBorder="1" applyAlignment="1" applyProtection="1">
      <alignment horizontal="center" vertical="center"/>
    </xf>
    <xf numFmtId="0" fontId="12" fillId="4" borderId="0" xfId="0" applyFont="1" applyFill="1" applyBorder="1" applyAlignment="1" applyProtection="1">
      <alignment horizontal="center" vertical="center"/>
    </xf>
    <xf numFmtId="0" fontId="17" fillId="4" borderId="5" xfId="0" applyNumberFormat="1" applyFont="1" applyFill="1" applyBorder="1" applyAlignment="1" applyProtection="1">
      <alignment horizontal="left" vertical="center" indent="1"/>
    </xf>
    <xf numFmtId="0" fontId="21" fillId="4" borderId="2" xfId="0" applyFont="1" applyFill="1" applyBorder="1" applyAlignment="1" applyProtection="1">
      <alignment horizontal="center" vertical="center"/>
    </xf>
    <xf numFmtId="0" fontId="8" fillId="4" borderId="11" xfId="0" applyNumberFormat="1" applyFont="1" applyFill="1" applyBorder="1" applyAlignment="1" applyProtection="1">
      <alignment horizontal="center" vertical="center"/>
    </xf>
    <xf numFmtId="0" fontId="22" fillId="4" borderId="2" xfId="0" applyFont="1" applyFill="1" applyBorder="1" applyAlignment="1" applyProtection="1">
      <alignment horizontal="center" vertical="center"/>
    </xf>
    <xf numFmtId="0" fontId="17" fillId="4" borderId="11" xfId="0" applyNumberFormat="1" applyFont="1" applyFill="1" applyBorder="1" applyAlignment="1" applyProtection="1">
      <alignment horizontal="left" vertical="center" indent="1"/>
    </xf>
    <xf numFmtId="0" fontId="17" fillId="4" borderId="13" xfId="0" applyNumberFormat="1" applyFont="1" applyFill="1" applyBorder="1" applyAlignment="1" applyProtection="1">
      <alignment horizontal="left" vertical="center" indent="1"/>
    </xf>
    <xf numFmtId="0" fontId="8" fillId="4" borderId="2" xfId="0" applyNumberFormat="1" applyFont="1" applyFill="1" applyBorder="1" applyAlignment="1" applyProtection="1">
      <alignment horizontal="center" vertical="center"/>
    </xf>
    <xf numFmtId="0" fontId="12" fillId="18" borderId="2" xfId="0" applyFont="1" applyFill="1" applyBorder="1" applyAlignment="1" applyProtection="1">
      <alignment horizontal="center" vertical="center"/>
    </xf>
    <xf numFmtId="0" fontId="34" fillId="18" borderId="2" xfId="0" applyNumberFormat="1" applyFont="1" applyFill="1" applyBorder="1" applyAlignment="1" applyProtection="1">
      <alignment horizontal="center" vertical="center"/>
    </xf>
    <xf numFmtId="0" fontId="17" fillId="4" borderId="2" xfId="0" applyFont="1" applyFill="1" applyBorder="1" applyAlignment="1" applyProtection="1">
      <alignment horizontal="center" vertical="center"/>
    </xf>
    <xf numFmtId="0" fontId="17" fillId="4" borderId="2" xfId="0" applyNumberFormat="1" applyFont="1" applyFill="1" applyBorder="1" applyAlignment="1" applyProtection="1">
      <alignment horizontal="left" vertical="center" indent="1"/>
    </xf>
    <xf numFmtId="0" fontId="17" fillId="15" borderId="0" xfId="0" applyFont="1" applyFill="1" applyBorder="1" applyAlignment="1">
      <alignment horizontal="center" vertical="center"/>
    </xf>
    <xf numFmtId="0" fontId="17" fillId="25" borderId="0" xfId="0" applyFont="1" applyFill="1" applyBorder="1" applyAlignment="1">
      <alignment horizontal="center" vertical="center"/>
    </xf>
    <xf numFmtId="1" fontId="12" fillId="0" borderId="0" xfId="0" applyNumberFormat="1" applyFont="1" applyFill="1" applyBorder="1" applyAlignment="1">
      <alignment horizontal="center" vertical="center"/>
    </xf>
    <xf numFmtId="0" fontId="17" fillId="25" borderId="16" xfId="0" applyFont="1" applyFill="1" applyBorder="1" applyAlignment="1">
      <alignment horizontal="center" vertical="center"/>
    </xf>
    <xf numFmtId="0" fontId="17" fillId="25" borderId="17" xfId="0" applyFont="1" applyFill="1" applyBorder="1" applyAlignment="1">
      <alignment horizontal="center" vertical="center"/>
    </xf>
    <xf numFmtId="0" fontId="17" fillId="25" borderId="18" xfId="0" applyFont="1" applyFill="1" applyBorder="1" applyAlignment="1">
      <alignment horizontal="center" vertical="center"/>
    </xf>
    <xf numFmtId="1" fontId="12" fillId="0" borderId="9" xfId="0" applyNumberFormat="1" applyFont="1" applyFill="1" applyBorder="1" applyAlignment="1">
      <alignment horizontal="center" vertical="center"/>
    </xf>
    <xf numFmtId="0" fontId="34" fillId="4" borderId="5" xfId="0" applyFont="1" applyFill="1" applyBorder="1" applyAlignment="1">
      <alignment horizontal="center" vertical="center"/>
    </xf>
    <xf numFmtId="0" fontId="34" fillId="4" borderId="6" xfId="0" applyFont="1" applyFill="1" applyBorder="1" applyAlignment="1">
      <alignment horizontal="center" vertical="center"/>
    </xf>
    <xf numFmtId="0" fontId="17" fillId="26" borderId="0" xfId="0" applyFont="1" applyFill="1" applyBorder="1" applyAlignment="1">
      <alignment horizontal="center" vertical="center"/>
    </xf>
    <xf numFmtId="0" fontId="22" fillId="0" borderId="19" xfId="0" applyFont="1" applyBorder="1" applyAlignment="1">
      <alignment vertical="center"/>
    </xf>
    <xf numFmtId="0" fontId="17" fillId="0" borderId="20" xfId="0" applyFont="1" applyBorder="1"/>
    <xf numFmtId="0" fontId="17" fillId="0" borderId="21" xfId="0" applyFont="1" applyBorder="1"/>
    <xf numFmtId="0" fontId="23" fillId="16" borderId="22" xfId="0" applyFont="1" applyFill="1" applyBorder="1" applyAlignment="1">
      <alignment horizontal="center" vertical="center"/>
    </xf>
    <xf numFmtId="0" fontId="26" fillId="17" borderId="23" xfId="0" applyFont="1" applyFill="1" applyBorder="1" applyAlignment="1">
      <alignment horizontal="center" vertical="center"/>
    </xf>
    <xf numFmtId="0" fontId="17" fillId="0" borderId="23" xfId="0" applyFont="1" applyBorder="1"/>
    <xf numFmtId="0" fontId="26" fillId="8" borderId="24" xfId="0" applyFont="1" applyFill="1" applyBorder="1" applyAlignment="1">
      <alignment horizontal="center" vertical="center"/>
    </xf>
    <xf numFmtId="0" fontId="56" fillId="0" borderId="25" xfId="0" applyFont="1" applyFill="1" applyBorder="1" applyAlignment="1">
      <alignment horizontal="center"/>
    </xf>
    <xf numFmtId="0" fontId="17" fillId="0" borderId="26" xfId="0" applyFont="1" applyBorder="1"/>
    <xf numFmtId="0" fontId="53" fillId="25" borderId="0" xfId="0" applyFont="1" applyFill="1" applyBorder="1" applyAlignment="1">
      <alignment horizontal="center" vertical="center"/>
    </xf>
    <xf numFmtId="2" fontId="53" fillId="26" borderId="0" xfId="0" applyNumberFormat="1" applyFont="1" applyFill="1" applyBorder="1" applyAlignment="1">
      <alignment horizontal="center"/>
    </xf>
    <xf numFmtId="0" fontId="53" fillId="26" borderId="0" xfId="0" applyFont="1" applyFill="1" applyBorder="1" applyAlignment="1">
      <alignment horizontal="center" vertical="center"/>
    </xf>
    <xf numFmtId="0" fontId="67" fillId="0" borderId="9" xfId="0" applyNumberFormat="1" applyFont="1" applyFill="1" applyBorder="1" applyAlignment="1">
      <alignment horizontal="center" vertical="center" wrapText="1"/>
    </xf>
    <xf numFmtId="0" fontId="34" fillId="0" borderId="13" xfId="0" applyFont="1" applyBorder="1" applyAlignment="1">
      <alignment horizontal="center" vertical="center"/>
    </xf>
    <xf numFmtId="0" fontId="17" fillId="0" borderId="9" xfId="0" applyFont="1" applyFill="1" applyBorder="1" applyAlignment="1">
      <alignment horizontal="center" vertical="center"/>
    </xf>
    <xf numFmtId="0" fontId="17" fillId="15" borderId="5" xfId="0" applyFont="1" applyFill="1" applyBorder="1" applyAlignment="1">
      <alignment horizontal="center" vertical="center"/>
    </xf>
    <xf numFmtId="0" fontId="0" fillId="0" borderId="9" xfId="0" applyFont="1" applyFill="1" applyBorder="1" applyAlignment="1">
      <alignment horizontal="center" vertical="center"/>
    </xf>
    <xf numFmtId="0" fontId="1" fillId="6" borderId="0" xfId="0" applyFont="1" applyFill="1" applyBorder="1" applyAlignment="1">
      <alignment horizontal="center" vertical="center"/>
    </xf>
    <xf numFmtId="0" fontId="0" fillId="27" borderId="0" xfId="0" applyFont="1" applyFill="1" applyBorder="1" applyAlignment="1">
      <alignment horizontal="center" vertical="center"/>
    </xf>
    <xf numFmtId="2" fontId="0" fillId="27" borderId="0" xfId="0" applyNumberFormat="1" applyFont="1" applyFill="1" applyBorder="1" applyAlignment="1">
      <alignment horizontal="center" vertical="center"/>
    </xf>
    <xf numFmtId="2" fontId="0" fillId="0" borderId="0" xfId="0" applyNumberFormat="1" applyFont="1" applyFill="1" applyAlignment="1">
      <alignment horizontal="center" vertical="center"/>
    </xf>
    <xf numFmtId="0" fontId="0" fillId="16" borderId="0" xfId="0" applyFont="1" applyFill="1" applyBorder="1" applyAlignment="1">
      <alignment horizontal="center" vertical="center"/>
    </xf>
    <xf numFmtId="0" fontId="26" fillId="0" borderId="0" xfId="0" applyFont="1" applyFill="1" applyBorder="1" applyAlignment="1">
      <alignment horizontal="center" vertical="center"/>
    </xf>
    <xf numFmtId="2" fontId="0" fillId="27" borderId="0" xfId="0" applyNumberFormat="1" applyFont="1" applyFill="1" applyAlignment="1">
      <alignment horizontal="center" vertical="center"/>
    </xf>
    <xf numFmtId="0" fontId="17" fillId="0" borderId="0" xfId="0" applyFont="1" applyAlignment="1">
      <alignment horizontal="right" vertical="center"/>
    </xf>
    <xf numFmtId="0" fontId="0" fillId="28" borderId="0" xfId="0" applyFont="1" applyFill="1" applyAlignment="1">
      <alignment horizontal="center" vertical="center"/>
    </xf>
    <xf numFmtId="1" fontId="2" fillId="0" borderId="2" xfId="0" applyNumberFormat="1" applyFont="1" applyBorder="1" applyAlignment="1">
      <alignment horizontal="center" vertical="center"/>
    </xf>
    <xf numFmtId="1" fontId="2" fillId="0" borderId="2" xfId="0" applyNumberFormat="1" applyFont="1" applyFill="1" applyBorder="1" applyAlignment="1">
      <alignment horizontal="center" vertical="center"/>
    </xf>
    <xf numFmtId="0" fontId="7" fillId="0" borderId="0" xfId="0" applyFont="1" applyFill="1" applyAlignment="1">
      <alignment horizontal="center" vertical="center"/>
    </xf>
    <xf numFmtId="0" fontId="0" fillId="0" borderId="0" xfId="0" applyFill="1" applyBorder="1" applyAlignment="1">
      <alignment horizontal="right" vertical="center"/>
    </xf>
    <xf numFmtId="0" fontId="9" fillId="0" borderId="10" xfId="0" applyFont="1" applyBorder="1" applyAlignment="1">
      <alignment vertical="center"/>
    </xf>
    <xf numFmtId="0" fontId="0" fillId="15" borderId="0" xfId="0" applyFont="1" applyFill="1" applyAlignment="1">
      <alignment horizontal="center" vertical="center"/>
    </xf>
    <xf numFmtId="2" fontId="0" fillId="15" borderId="0" xfId="0" applyNumberFormat="1" applyFont="1" applyFill="1" applyAlignment="1">
      <alignment horizontal="center" vertical="center"/>
    </xf>
    <xf numFmtId="2" fontId="0" fillId="9" borderId="0" xfId="0" applyNumberFormat="1" applyFont="1" applyFill="1" applyAlignment="1">
      <alignment horizontal="center" vertical="center"/>
    </xf>
    <xf numFmtId="0" fontId="68" fillId="0" borderId="0" xfId="0" applyFont="1" applyFill="1" applyBorder="1" applyAlignment="1">
      <alignment horizontal="center" vertical="center"/>
    </xf>
    <xf numFmtId="0" fontId="2" fillId="20" borderId="2" xfId="0" applyFont="1" applyFill="1" applyBorder="1" applyAlignment="1">
      <alignment horizontal="center"/>
    </xf>
    <xf numFmtId="0" fontId="54" fillId="9" borderId="0" xfId="0" applyFont="1" applyFill="1" applyAlignment="1">
      <alignment horizontal="center"/>
    </xf>
    <xf numFmtId="0" fontId="22" fillId="24" borderId="0" xfId="0" applyFont="1" applyFill="1" applyBorder="1" applyAlignment="1">
      <alignment horizontal="center"/>
    </xf>
    <xf numFmtId="2" fontId="22" fillId="24" borderId="0" xfId="0" applyNumberFormat="1" applyFont="1" applyFill="1" applyBorder="1" applyAlignment="1">
      <alignment horizontal="center"/>
    </xf>
    <xf numFmtId="0" fontId="0" fillId="0" borderId="2" xfId="0" applyFont="1" applyFill="1" applyBorder="1" applyAlignment="1">
      <alignment horizontal="center" vertical="center"/>
    </xf>
    <xf numFmtId="2" fontId="53" fillId="0" borderId="2" xfId="0" applyNumberFormat="1" applyFont="1" applyFill="1" applyBorder="1" applyAlignment="1">
      <alignment horizontal="center"/>
    </xf>
    <xf numFmtId="2" fontId="2" fillId="4" borderId="2" xfId="0" applyNumberFormat="1" applyFont="1" applyFill="1" applyBorder="1" applyAlignment="1">
      <alignment horizontal="center" vertical="center"/>
    </xf>
    <xf numFmtId="49" fontId="2" fillId="12" borderId="2" xfId="0" applyNumberFormat="1" applyFont="1" applyFill="1" applyBorder="1" applyAlignment="1">
      <alignment horizontal="center" vertical="center"/>
    </xf>
    <xf numFmtId="0" fontId="2" fillId="12" borderId="2" xfId="0" applyFont="1" applyFill="1" applyBorder="1" applyAlignment="1">
      <alignment horizontal="center" vertical="center"/>
    </xf>
    <xf numFmtId="0" fontId="33" fillId="13" borderId="0" xfId="0" applyFont="1" applyFill="1" applyAlignment="1">
      <alignment horizontal="center" vertical="center"/>
    </xf>
    <xf numFmtId="0" fontId="22" fillId="4" borderId="1" xfId="0" applyFont="1" applyFill="1" applyBorder="1" applyAlignment="1">
      <alignment horizontal="center"/>
    </xf>
    <xf numFmtId="0" fontId="22" fillId="4" borderId="11" xfId="0" applyFont="1" applyFill="1" applyBorder="1" applyAlignment="1">
      <alignment horizontal="center"/>
    </xf>
    <xf numFmtId="0" fontId="17" fillId="0" borderId="0" xfId="0" applyFont="1" applyFill="1" applyBorder="1" applyAlignment="1">
      <alignment horizontal="center" vertical="center"/>
    </xf>
    <xf numFmtId="0" fontId="17" fillId="15" borderId="1" xfId="0" applyFont="1" applyFill="1" applyBorder="1" applyAlignment="1">
      <alignment horizontal="center" vertical="center"/>
    </xf>
    <xf numFmtId="0" fontId="2" fillId="2" borderId="27" xfId="0" applyNumberFormat="1" applyFont="1" applyFill="1" applyBorder="1" applyAlignment="1">
      <alignment horizontal="center" vertical="center"/>
    </xf>
    <xf numFmtId="0" fontId="17" fillId="15" borderId="6" xfId="0" applyFont="1" applyFill="1" applyBorder="1" applyAlignment="1">
      <alignment horizontal="center" vertical="center"/>
    </xf>
    <xf numFmtId="0" fontId="17" fillId="0" borderId="0" xfId="0" applyFont="1" applyFill="1" applyAlignment="1">
      <alignment horizontal="right"/>
    </xf>
    <xf numFmtId="0" fontId="22" fillId="0" borderId="0" xfId="0" applyFont="1" applyFill="1" applyAlignment="1">
      <alignment horizontal="center" vertical="center"/>
    </xf>
    <xf numFmtId="0" fontId="2" fillId="2" borderId="0" xfId="0" applyFont="1" applyFill="1" applyBorder="1" applyAlignment="1">
      <alignment horizontal="center" vertical="center"/>
    </xf>
    <xf numFmtId="0" fontId="2" fillId="2" borderId="27" xfId="0" applyFont="1" applyFill="1" applyBorder="1" applyAlignment="1">
      <alignment horizontal="center" vertical="center"/>
    </xf>
    <xf numFmtId="0" fontId="2" fillId="26" borderId="27" xfId="0" applyFont="1" applyFill="1" applyBorder="1" applyAlignment="1">
      <alignment horizontal="center" vertical="center"/>
    </xf>
    <xf numFmtId="0" fontId="2" fillId="0" borderId="0" xfId="0" applyFont="1" applyFill="1" applyBorder="1" applyAlignment="1">
      <alignment horizontal="right" vertical="center"/>
    </xf>
    <xf numFmtId="0" fontId="7" fillId="0" borderId="0" xfId="0" applyFont="1" applyFill="1" applyBorder="1" applyAlignment="1">
      <alignment horizontal="right" vertical="center"/>
    </xf>
    <xf numFmtId="0" fontId="0" fillId="4" borderId="15" xfId="0" applyFill="1" applyBorder="1" applyAlignment="1">
      <alignment horizontal="left" vertical="center" wrapText="1"/>
    </xf>
    <xf numFmtId="0" fontId="70" fillId="0" borderId="0" xfId="0" applyFont="1" applyFill="1" applyAlignment="1">
      <alignment horizontal="left" vertical="center"/>
    </xf>
    <xf numFmtId="0" fontId="17" fillId="0" borderId="0" xfId="0" applyFont="1" applyFill="1" applyBorder="1" applyAlignment="1">
      <alignment horizontal="center"/>
    </xf>
    <xf numFmtId="0" fontId="21" fillId="29" borderId="0" xfId="0" applyFont="1" applyFill="1" applyBorder="1" applyAlignment="1">
      <alignment horizontal="center" vertical="center"/>
    </xf>
    <xf numFmtId="2" fontId="21" fillId="0" borderId="0" xfId="0" applyNumberFormat="1" applyFont="1" applyFill="1" applyBorder="1" applyAlignment="1">
      <alignment horizontal="center" vertical="center"/>
    </xf>
    <xf numFmtId="0" fontId="17" fillId="0" borderId="0" xfId="0" applyNumberFormat="1" applyFont="1" applyFill="1" applyBorder="1" applyAlignment="1">
      <alignment horizontal="left" vertical="center" indent="1"/>
    </xf>
    <xf numFmtId="0" fontId="0" fillId="0" borderId="0" xfId="0" applyFill="1" applyBorder="1" applyAlignment="1">
      <alignment vertical="center"/>
    </xf>
    <xf numFmtId="0" fontId="0" fillId="0" borderId="0" xfId="0" applyFill="1" applyAlignment="1">
      <alignment vertical="center"/>
    </xf>
    <xf numFmtId="2" fontId="2" fillId="2" borderId="27" xfId="0" applyNumberFormat="1" applyFont="1" applyFill="1" applyBorder="1" applyAlignment="1">
      <alignment horizontal="center" vertical="center"/>
    </xf>
    <xf numFmtId="0" fontId="0" fillId="9" borderId="0" xfId="0" applyFill="1" applyBorder="1" applyAlignment="1">
      <alignment horizontal="center" vertical="center"/>
    </xf>
    <xf numFmtId="2" fontId="0" fillId="9" borderId="0" xfId="0" applyNumberFormat="1" applyFont="1" applyFill="1" applyBorder="1" applyAlignment="1">
      <alignment horizontal="center" vertical="center"/>
    </xf>
    <xf numFmtId="0" fontId="21" fillId="0" borderId="0" xfId="0" applyFont="1" applyFill="1" applyAlignment="1">
      <alignment vertical="center"/>
    </xf>
    <xf numFmtId="0" fontId="0" fillId="30" borderId="2" xfId="0" applyFont="1" applyFill="1" applyBorder="1" applyAlignment="1">
      <alignment horizontal="center" vertical="center"/>
    </xf>
    <xf numFmtId="2" fontId="2" fillId="11" borderId="2" xfId="0" applyNumberFormat="1" applyFont="1" applyFill="1" applyBorder="1" applyAlignment="1">
      <alignment horizontal="center" vertical="center"/>
    </xf>
    <xf numFmtId="2" fontId="0" fillId="11" borderId="2" xfId="0" applyNumberFormat="1" applyFont="1" applyFill="1" applyBorder="1" applyAlignment="1">
      <alignment horizontal="center" vertical="center"/>
    </xf>
    <xf numFmtId="0" fontId="0" fillId="0" borderId="1" xfId="0" applyFill="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2" borderId="2" xfId="0" applyFont="1" applyFill="1" applyBorder="1" applyAlignment="1">
      <alignment horizontal="center" vertical="center"/>
    </xf>
    <xf numFmtId="2" fontId="33" fillId="31" borderId="0" xfId="0" applyNumberFormat="1" applyFont="1" applyFill="1" applyBorder="1" applyAlignment="1">
      <alignment horizontal="center" vertical="center"/>
    </xf>
    <xf numFmtId="0" fontId="17" fillId="10" borderId="27" xfId="0" applyFont="1" applyFill="1" applyBorder="1" applyAlignment="1">
      <alignment horizontal="center"/>
    </xf>
    <xf numFmtId="0" fontId="0" fillId="11" borderId="0" xfId="0" applyFill="1" applyAlignment="1">
      <alignment horizontal="center" vertical="center"/>
    </xf>
    <xf numFmtId="0" fontId="0" fillId="27" borderId="2" xfId="0" applyFont="1" applyFill="1" applyBorder="1" applyAlignment="1">
      <alignment horizontal="center" vertical="center"/>
    </xf>
    <xf numFmtId="0" fontId="0" fillId="32" borderId="0" xfId="0" applyFont="1" applyFill="1" applyAlignment="1">
      <alignment horizontal="center" vertical="center"/>
    </xf>
    <xf numFmtId="0" fontId="39" fillId="32" borderId="0" xfId="0" applyFont="1" applyFill="1" applyBorder="1" applyAlignment="1">
      <alignment horizontal="center" vertical="center"/>
    </xf>
    <xf numFmtId="0" fontId="21" fillId="32" borderId="0" xfId="0" applyFont="1" applyFill="1" applyBorder="1" applyAlignment="1">
      <alignment horizontal="center" vertical="center"/>
    </xf>
    <xf numFmtId="0" fontId="0" fillId="32" borderId="0" xfId="0" applyFill="1" applyAlignment="1">
      <alignment horizontal="center" vertical="center"/>
    </xf>
    <xf numFmtId="0" fontId="0" fillId="32" borderId="0" xfId="0" applyFont="1" applyFill="1" applyBorder="1" applyAlignment="1">
      <alignment vertical="center"/>
    </xf>
    <xf numFmtId="0" fontId="3" fillId="32" borderId="0" xfId="0" applyFont="1" applyFill="1" applyBorder="1" applyAlignment="1"/>
    <xf numFmtId="1" fontId="3" fillId="32" borderId="0" xfId="0" applyNumberFormat="1" applyFont="1" applyFill="1" applyBorder="1" applyAlignment="1">
      <alignment vertical="center"/>
    </xf>
    <xf numFmtId="0" fontId="64" fillId="32" borderId="0" xfId="0" applyFont="1" applyFill="1" applyBorder="1" applyAlignment="1">
      <alignment vertical="center"/>
    </xf>
    <xf numFmtId="0" fontId="3" fillId="32" borderId="0" xfId="0" applyFont="1" applyFill="1" applyBorder="1" applyAlignment="1">
      <alignment vertical="center"/>
    </xf>
    <xf numFmtId="0" fontId="3" fillId="32" borderId="0" xfId="0" applyFont="1" applyFill="1" applyBorder="1" applyAlignment="1">
      <alignment horizontal="left" vertical="center" indent="1"/>
    </xf>
    <xf numFmtId="0" fontId="0" fillId="32" borderId="0" xfId="0" applyFill="1" applyBorder="1"/>
    <xf numFmtId="0" fontId="21" fillId="11" borderId="0" xfId="0" applyFont="1" applyFill="1" applyBorder="1" applyAlignment="1">
      <alignment horizontal="left" vertical="center"/>
    </xf>
    <xf numFmtId="0" fontId="2" fillId="4" borderId="0" xfId="0" applyNumberFormat="1" applyFont="1" applyFill="1" applyBorder="1" applyAlignment="1">
      <alignment vertical="center" wrapText="1"/>
    </xf>
    <xf numFmtId="0" fontId="69" fillId="0" borderId="0" xfId="0" applyFont="1" applyFill="1" applyBorder="1" applyAlignment="1">
      <alignment vertical="center"/>
    </xf>
    <xf numFmtId="0" fontId="2" fillId="4" borderId="0" xfId="0" applyNumberFormat="1" applyFont="1" applyFill="1" applyBorder="1" applyAlignment="1">
      <alignment vertical="top" wrapText="1"/>
    </xf>
    <xf numFmtId="0" fontId="40" fillId="4" borderId="0" xfId="0" applyFont="1" applyFill="1" applyBorder="1" applyAlignment="1">
      <alignment horizontal="left" vertical="center" indent="2"/>
    </xf>
    <xf numFmtId="0" fontId="0" fillId="7" borderId="6" xfId="0" applyFont="1" applyFill="1" applyBorder="1" applyAlignment="1">
      <alignment horizontal="center" vertical="center"/>
    </xf>
    <xf numFmtId="0" fontId="0" fillId="7" borderId="7" xfId="0" applyFont="1" applyFill="1" applyBorder="1" applyAlignment="1">
      <alignment horizontal="left" vertical="center"/>
    </xf>
    <xf numFmtId="0" fontId="0" fillId="7" borderId="7" xfId="0" applyFont="1" applyFill="1" applyBorder="1" applyAlignment="1">
      <alignment horizontal="center" vertical="center"/>
    </xf>
    <xf numFmtId="0" fontId="2" fillId="7" borderId="7" xfId="0" applyFont="1" applyFill="1" applyBorder="1" applyAlignment="1">
      <alignment horizontal="center" vertical="center"/>
    </xf>
    <xf numFmtId="0" fontId="0" fillId="7" borderId="8" xfId="0" applyFont="1" applyFill="1" applyBorder="1" applyAlignment="1">
      <alignment horizontal="center" vertical="center"/>
    </xf>
    <xf numFmtId="0" fontId="0" fillId="7" borderId="9" xfId="0" applyFont="1" applyFill="1" applyBorder="1" applyAlignment="1">
      <alignment horizontal="center" vertical="center"/>
    </xf>
    <xf numFmtId="0" fontId="40" fillId="7" borderId="9" xfId="0" applyFont="1" applyFill="1" applyBorder="1" applyAlignment="1">
      <alignment horizontal="center" vertical="center"/>
    </xf>
    <xf numFmtId="0" fontId="40" fillId="7" borderId="15" xfId="0" applyFont="1" applyFill="1" applyBorder="1" applyAlignment="1">
      <alignment vertical="center" wrapText="1"/>
    </xf>
    <xf numFmtId="0" fontId="40" fillId="7" borderId="15" xfId="0" applyFont="1" applyFill="1" applyBorder="1" applyAlignment="1">
      <alignment vertical="center"/>
    </xf>
    <xf numFmtId="0" fontId="40" fillId="7" borderId="15" xfId="0" applyFont="1" applyFill="1" applyBorder="1" applyAlignment="1">
      <alignment horizontal="center" vertical="center"/>
    </xf>
    <xf numFmtId="0" fontId="0" fillId="7" borderId="13" xfId="0" applyFont="1" applyFill="1" applyBorder="1" applyAlignment="1">
      <alignment horizontal="center" vertical="center"/>
    </xf>
    <xf numFmtId="0" fontId="0" fillId="7" borderId="10" xfId="0" applyFont="1" applyFill="1" applyBorder="1" applyAlignment="1">
      <alignment horizontal="left" vertical="center"/>
    </xf>
    <xf numFmtId="0" fontId="0" fillId="7" borderId="10" xfId="0" applyFont="1" applyFill="1" applyBorder="1" applyAlignment="1">
      <alignment horizontal="center" vertical="center"/>
    </xf>
    <xf numFmtId="0" fontId="2" fillId="7" borderId="10" xfId="0" applyFont="1" applyFill="1" applyBorder="1" applyAlignment="1">
      <alignment horizontal="center" vertical="center"/>
    </xf>
    <xf numFmtId="0" fontId="0" fillId="7" borderId="14" xfId="0" applyFont="1" applyFill="1" applyBorder="1" applyAlignment="1">
      <alignment horizontal="center" vertical="center"/>
    </xf>
    <xf numFmtId="0" fontId="22" fillId="4" borderId="2" xfId="0" applyFont="1" applyFill="1" applyBorder="1" applyAlignment="1">
      <alignment horizontal="center"/>
    </xf>
    <xf numFmtId="0" fontId="22" fillId="4" borderId="2" xfId="0" applyNumberFormat="1" applyFont="1" applyFill="1" applyBorder="1" applyAlignment="1">
      <alignment horizontal="center" vertical="center"/>
    </xf>
    <xf numFmtId="1" fontId="22" fillId="4" borderId="2" xfId="0" applyNumberFormat="1" applyFont="1" applyFill="1" applyBorder="1" applyAlignment="1">
      <alignment horizontal="center" vertical="center"/>
    </xf>
    <xf numFmtId="0" fontId="22" fillId="4" borderId="0" xfId="0" applyFont="1" applyFill="1" applyBorder="1" applyAlignment="1">
      <alignment vertical="center"/>
    </xf>
    <xf numFmtId="0" fontId="23" fillId="4" borderId="0" xfId="0" applyFont="1" applyFill="1" applyBorder="1" applyAlignment="1">
      <alignment vertical="center"/>
    </xf>
    <xf numFmtId="0" fontId="22" fillId="4" borderId="11" xfId="0" applyNumberFormat="1" applyFont="1" applyFill="1" applyBorder="1" applyAlignment="1">
      <alignment horizontal="center" vertical="center"/>
    </xf>
    <xf numFmtId="0" fontId="34" fillId="4" borderId="5" xfId="0" applyFont="1" applyFill="1" applyBorder="1"/>
    <xf numFmtId="0" fontId="22" fillId="4" borderId="4" xfId="0" applyFont="1" applyFill="1" applyBorder="1" applyAlignment="1">
      <alignment horizontal="center" vertical="center"/>
    </xf>
    <xf numFmtId="0" fontId="22" fillId="4" borderId="4" xfId="0" applyFont="1" applyFill="1" applyBorder="1"/>
    <xf numFmtId="2" fontId="22" fillId="4" borderId="3" xfId="0" applyNumberFormat="1" applyFont="1" applyFill="1" applyBorder="1" applyAlignment="1">
      <alignment horizontal="center" vertical="center"/>
    </xf>
    <xf numFmtId="0" fontId="22" fillId="4" borderId="0" xfId="0" applyFont="1" applyFill="1" applyBorder="1" applyAlignment="1"/>
    <xf numFmtId="0" fontId="22" fillId="10" borderId="4" xfId="0" applyFont="1" applyFill="1" applyBorder="1" applyAlignment="1">
      <alignment horizontal="left" vertical="center"/>
    </xf>
    <xf numFmtId="0" fontId="22" fillId="11" borderId="4" xfId="0" applyFont="1" applyFill="1" applyBorder="1" applyAlignment="1">
      <alignment horizontal="left" vertical="center"/>
    </xf>
    <xf numFmtId="49" fontId="22" fillId="4" borderId="4" xfId="0" applyNumberFormat="1" applyFont="1" applyFill="1" applyBorder="1" applyAlignment="1">
      <alignment horizontal="left" vertical="center"/>
    </xf>
    <xf numFmtId="0" fontId="22" fillId="4" borderId="0" xfId="0" applyFont="1" applyFill="1" applyBorder="1" applyAlignment="1">
      <alignment horizontal="center"/>
    </xf>
    <xf numFmtId="2" fontId="22" fillId="4" borderId="14" xfId="0" applyNumberFormat="1" applyFont="1" applyFill="1" applyBorder="1" applyAlignment="1">
      <alignment horizontal="center" vertical="center"/>
    </xf>
    <xf numFmtId="2" fontId="22" fillId="4" borderId="8" xfId="0" applyNumberFormat="1" applyFont="1" applyFill="1" applyBorder="1" applyAlignment="1">
      <alignment horizontal="center" vertical="center"/>
    </xf>
    <xf numFmtId="2" fontId="21" fillId="14" borderId="2" xfId="0" applyNumberFormat="1" applyFont="1" applyFill="1" applyBorder="1" applyAlignment="1">
      <alignment horizontal="center" vertical="center"/>
    </xf>
    <xf numFmtId="0" fontId="0" fillId="4" borderId="4" xfId="0" applyFont="1" applyFill="1" applyBorder="1" applyAlignment="1">
      <alignment horizontal="left" vertical="center"/>
    </xf>
    <xf numFmtId="0" fontId="23" fillId="4" borderId="6" xfId="0" applyFont="1" applyFill="1" applyBorder="1" applyAlignment="1">
      <alignment horizontal="left" vertical="center" indent="1"/>
    </xf>
    <xf numFmtId="0" fontId="23" fillId="4" borderId="9" xfId="0" applyFont="1" applyFill="1" applyBorder="1" applyAlignment="1">
      <alignment horizontal="left" vertical="center" indent="1"/>
    </xf>
    <xf numFmtId="0" fontId="22" fillId="4" borderId="4" xfId="0" applyFont="1" applyFill="1" applyBorder="1" applyAlignment="1">
      <alignment vertical="center" wrapText="1"/>
    </xf>
    <xf numFmtId="0" fontId="17" fillId="4" borderId="0" xfId="0" applyFont="1" applyFill="1" applyBorder="1" applyAlignment="1">
      <alignment vertical="center" wrapText="1"/>
    </xf>
    <xf numFmtId="0" fontId="59" fillId="4" borderId="12" xfId="0" applyFont="1" applyFill="1" applyBorder="1" applyAlignment="1">
      <alignment horizontal="center" vertical="center"/>
    </xf>
    <xf numFmtId="2" fontId="71" fillId="4" borderId="4" xfId="0" applyNumberFormat="1" applyFont="1" applyFill="1" applyBorder="1" applyAlignment="1">
      <alignment horizontal="center" vertical="center"/>
    </xf>
    <xf numFmtId="0" fontId="40" fillId="0" borderId="0" xfId="0" applyFont="1" applyFill="1" applyBorder="1" applyAlignment="1">
      <alignment vertical="center" wrapText="1"/>
    </xf>
    <xf numFmtId="0" fontId="40" fillId="0" borderId="0" xfId="0" applyFont="1" applyFill="1" applyBorder="1" applyAlignment="1">
      <alignment vertical="center"/>
    </xf>
    <xf numFmtId="0" fontId="2" fillId="0" borderId="0" xfId="0" applyFont="1" applyFill="1" applyBorder="1" applyAlignment="1">
      <alignment vertical="top" wrapText="1"/>
    </xf>
    <xf numFmtId="0" fontId="46" fillId="0" borderId="0" xfId="1" applyFont="1" applyFill="1" applyBorder="1" applyAlignment="1" applyProtection="1">
      <alignment vertical="top"/>
    </xf>
    <xf numFmtId="0" fontId="0" fillId="0" borderId="0" xfId="0" applyFont="1" applyFill="1" applyBorder="1" applyAlignment="1">
      <alignment horizontal="left" vertical="center" indent="1"/>
    </xf>
    <xf numFmtId="0" fontId="2" fillId="0" borderId="0" xfId="0" applyFont="1" applyFill="1" applyBorder="1" applyAlignment="1">
      <alignment horizontal="left" vertical="center" wrapText="1" indent="1"/>
    </xf>
    <xf numFmtId="0" fontId="40" fillId="0" borderId="0" xfId="0" applyFont="1" applyFill="1" applyBorder="1" applyAlignment="1">
      <alignment horizontal="center" vertical="center"/>
    </xf>
    <xf numFmtId="0" fontId="0" fillId="4" borderId="0" xfId="0" applyFont="1" applyFill="1" applyBorder="1" applyAlignment="1">
      <alignment horizontal="left" vertical="center" indent="1"/>
    </xf>
    <xf numFmtId="49" fontId="2" fillId="4" borderId="0" xfId="0" applyNumberFormat="1" applyFont="1" applyFill="1" applyBorder="1" applyAlignment="1">
      <alignment horizontal="center" vertical="center"/>
    </xf>
    <xf numFmtId="0" fontId="0" fillId="7" borderId="15" xfId="0" applyFont="1" applyFill="1" applyBorder="1" applyAlignment="1">
      <alignment horizontal="left" vertical="center" indent="1"/>
    </xf>
    <xf numFmtId="0" fontId="0"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22" fillId="15" borderId="0" xfId="0" applyFont="1" applyFill="1" applyBorder="1" applyAlignment="1">
      <alignment vertical="center" wrapText="1"/>
    </xf>
    <xf numFmtId="0" fontId="0" fillId="15" borderId="0" xfId="0" applyFill="1" applyBorder="1" applyAlignment="1">
      <alignment horizontal="left" vertical="center"/>
    </xf>
    <xf numFmtId="0" fontId="25" fillId="4" borderId="14" xfId="0" applyFont="1" applyFill="1" applyBorder="1" applyAlignment="1">
      <alignment horizontal="center" vertical="center"/>
    </xf>
    <xf numFmtId="0" fontId="40" fillId="4" borderId="0" xfId="0" applyFont="1" applyFill="1" applyBorder="1" applyAlignment="1">
      <alignment vertical="center" wrapText="1"/>
    </xf>
    <xf numFmtId="0" fontId="0" fillId="4" borderId="0" xfId="0" applyFill="1"/>
    <xf numFmtId="0" fontId="23" fillId="4" borderId="6" xfId="0" applyFont="1" applyFill="1" applyBorder="1" applyAlignment="1">
      <alignment horizontal="center" vertical="center" wrapText="1"/>
    </xf>
    <xf numFmtId="0" fontId="23" fillId="4" borderId="7" xfId="0" applyFont="1" applyFill="1" applyBorder="1" applyAlignment="1">
      <alignment horizontal="center" vertical="center" wrapText="1"/>
    </xf>
    <xf numFmtId="0" fontId="34" fillId="4" borderId="5" xfId="0" applyFont="1" applyFill="1" applyBorder="1" applyAlignment="1">
      <alignment horizontal="left" vertical="center"/>
    </xf>
    <xf numFmtId="0" fontId="24" fillId="4" borderId="4" xfId="0" applyFont="1" applyFill="1" applyBorder="1" applyAlignment="1">
      <alignment horizontal="center" vertical="center"/>
    </xf>
    <xf numFmtId="0" fontId="24" fillId="4" borderId="4" xfId="0" applyFont="1" applyFill="1" applyBorder="1" applyAlignment="1">
      <alignment horizontal="left" vertical="center"/>
    </xf>
    <xf numFmtId="0" fontId="23" fillId="4" borderId="13" xfId="0" applyFont="1" applyFill="1" applyBorder="1" applyAlignment="1">
      <alignment horizontal="center" vertical="center"/>
    </xf>
    <xf numFmtId="0" fontId="26" fillId="4" borderId="10" xfId="0" applyFont="1" applyFill="1" applyBorder="1" applyAlignment="1">
      <alignment horizontal="center" vertical="center"/>
    </xf>
    <xf numFmtId="0" fontId="23" fillId="4" borderId="10" xfId="0" applyFont="1" applyFill="1" applyBorder="1" applyAlignment="1">
      <alignment horizontal="center" vertical="center"/>
    </xf>
    <xf numFmtId="0" fontId="23" fillId="4" borderId="14" xfId="0" applyFont="1" applyFill="1" applyBorder="1" applyAlignment="1">
      <alignment horizontal="left" vertical="center"/>
    </xf>
    <xf numFmtId="0" fontId="23" fillId="4" borderId="6" xfId="0" applyFont="1" applyFill="1" applyBorder="1" applyAlignment="1">
      <alignment horizontal="center" vertical="center"/>
    </xf>
    <xf numFmtId="0" fontId="26" fillId="4" borderId="7" xfId="0" applyFont="1" applyFill="1" applyBorder="1" applyAlignment="1">
      <alignment horizontal="center" vertical="center"/>
    </xf>
    <xf numFmtId="49" fontId="23" fillId="4" borderId="7" xfId="0" applyNumberFormat="1" applyFont="1" applyFill="1" applyBorder="1" applyAlignment="1">
      <alignment horizontal="center" vertical="center"/>
    </xf>
    <xf numFmtId="0" fontId="23" fillId="4" borderId="7" xfId="0" applyFont="1" applyFill="1" applyBorder="1" applyAlignment="1">
      <alignment horizontal="center" vertical="center"/>
    </xf>
    <xf numFmtId="0" fontId="23" fillId="4" borderId="8" xfId="0" applyFont="1" applyFill="1" applyBorder="1" applyAlignment="1">
      <alignment horizontal="left" vertical="center"/>
    </xf>
    <xf numFmtId="49" fontId="23" fillId="4" borderId="4" xfId="0" applyNumberFormat="1" applyFont="1" applyFill="1" applyBorder="1" applyAlignment="1">
      <alignment horizontal="center" vertical="center"/>
    </xf>
    <xf numFmtId="0" fontId="23" fillId="4" borderId="4" xfId="0" applyFont="1" applyFill="1" applyBorder="1" applyAlignment="1">
      <alignment horizontal="left" vertical="center"/>
    </xf>
    <xf numFmtId="49" fontId="23" fillId="4" borderId="10" xfId="0" applyNumberFormat="1" applyFont="1" applyFill="1" applyBorder="1" applyAlignment="1">
      <alignment horizontal="center" vertical="center"/>
    </xf>
    <xf numFmtId="0" fontId="23" fillId="4" borderId="5" xfId="0" applyFont="1" applyFill="1" applyBorder="1" applyAlignment="1">
      <alignment horizontal="center" vertical="center"/>
    </xf>
    <xf numFmtId="0" fontId="23" fillId="4" borderId="3" xfId="0" applyFont="1" applyFill="1" applyBorder="1" applyAlignment="1">
      <alignment horizontal="left" vertical="center"/>
    </xf>
    <xf numFmtId="0" fontId="26" fillId="4" borderId="4" xfId="0" applyFont="1" applyFill="1" applyBorder="1" applyAlignment="1">
      <alignment horizontal="center" vertical="center"/>
    </xf>
    <xf numFmtId="0" fontId="23" fillId="4" borderId="0" xfId="0" applyFont="1" applyFill="1" applyBorder="1" applyAlignment="1">
      <alignment horizontal="center" vertical="center"/>
    </xf>
    <xf numFmtId="0" fontId="26" fillId="4" borderId="0" xfId="0" applyFont="1" applyFill="1" applyBorder="1" applyAlignment="1">
      <alignment horizontal="center" vertical="center"/>
    </xf>
    <xf numFmtId="0" fontId="23" fillId="4" borderId="9" xfId="0" applyFont="1" applyFill="1" applyBorder="1" applyAlignment="1">
      <alignment horizontal="center" vertical="center"/>
    </xf>
    <xf numFmtId="0" fontId="23" fillId="4" borderId="15" xfId="0" applyFont="1" applyFill="1" applyBorder="1" applyAlignment="1">
      <alignment horizontal="left" vertical="center"/>
    </xf>
    <xf numFmtId="0" fontId="23" fillId="4" borderId="7" xfId="0" applyNumberFormat="1" applyFont="1" applyFill="1" applyBorder="1" applyAlignment="1">
      <alignment horizontal="center" vertical="center"/>
    </xf>
    <xf numFmtId="0" fontId="23" fillId="4" borderId="10" xfId="0" applyNumberFormat="1" applyFont="1" applyFill="1" applyBorder="1" applyAlignment="1">
      <alignment horizontal="center" vertical="center"/>
    </xf>
    <xf numFmtId="0" fontId="34" fillId="4" borderId="13" xfId="0" applyFont="1" applyFill="1" applyBorder="1" applyAlignment="1">
      <alignment horizontal="left" vertical="center"/>
    </xf>
    <xf numFmtId="0" fontId="24" fillId="4" borderId="10" xfId="0" applyFont="1" applyFill="1" applyBorder="1" applyAlignment="1">
      <alignment horizontal="center" vertical="center"/>
    </xf>
    <xf numFmtId="0" fontId="24" fillId="4" borderId="10" xfId="0" applyFont="1" applyFill="1" applyBorder="1" applyAlignment="1">
      <alignment horizontal="left" vertical="center"/>
    </xf>
    <xf numFmtId="0" fontId="23" fillId="4" borderId="4" xfId="0" applyNumberFormat="1" applyFont="1" applyFill="1" applyBorder="1" applyAlignment="1">
      <alignment horizontal="center" vertical="center"/>
    </xf>
    <xf numFmtId="0" fontId="23" fillId="4" borderId="0" xfId="0" applyNumberFormat="1" applyFont="1" applyFill="1" applyBorder="1" applyAlignment="1">
      <alignment horizontal="center" vertical="center"/>
    </xf>
    <xf numFmtId="0" fontId="23" fillId="4" borderId="4" xfId="0" applyFont="1" applyFill="1" applyBorder="1" applyAlignment="1">
      <alignment horizontal="right" vertical="center"/>
    </xf>
    <xf numFmtId="0" fontId="17" fillId="4" borderId="0" xfId="0" applyFont="1" applyFill="1" applyBorder="1" applyAlignment="1">
      <alignment horizontal="left" vertical="center" indent="1"/>
    </xf>
    <xf numFmtId="0" fontId="17" fillId="0" borderId="0" xfId="0" applyFont="1" applyAlignment="1">
      <alignment horizontal="left" vertical="center"/>
    </xf>
    <xf numFmtId="0" fontId="17" fillId="15" borderId="0" xfId="0" applyFont="1" applyFill="1" applyBorder="1" applyAlignment="1">
      <alignment horizontal="left" vertical="center"/>
    </xf>
    <xf numFmtId="0" fontId="8" fillId="0" borderId="0" xfId="0" applyFont="1" applyAlignment="1">
      <alignment horizontal="center" vertical="center"/>
    </xf>
    <xf numFmtId="0" fontId="15" fillId="4" borderId="12" xfId="0" applyFont="1" applyFill="1" applyBorder="1" applyAlignment="1">
      <alignment horizontal="center"/>
    </xf>
    <xf numFmtId="0" fontId="22" fillId="4" borderId="0" xfId="0" applyFont="1" applyFill="1" applyAlignment="1">
      <alignment vertical="center"/>
    </xf>
    <xf numFmtId="0" fontId="12" fillId="4" borderId="4" xfId="0" applyFont="1" applyFill="1" applyBorder="1" applyAlignment="1">
      <alignment horizontal="center" vertical="center"/>
    </xf>
    <xf numFmtId="0" fontId="22" fillId="15" borderId="0" xfId="0" applyFont="1" applyFill="1" applyAlignment="1">
      <alignment vertical="center"/>
    </xf>
    <xf numFmtId="0" fontId="17" fillId="15" borderId="0" xfId="0" applyFont="1" applyFill="1" applyBorder="1" applyAlignment="1">
      <alignment vertical="center" wrapText="1"/>
    </xf>
    <xf numFmtId="0" fontId="17" fillId="15" borderId="0" xfId="0" applyFont="1" applyFill="1" applyBorder="1" applyAlignment="1">
      <alignment horizontal="left" vertical="center" indent="1"/>
    </xf>
    <xf numFmtId="0" fontId="22" fillId="15" borderId="0" xfId="0" applyFont="1" applyFill="1" applyBorder="1" applyAlignment="1">
      <alignment horizontal="left" vertical="center" indent="1"/>
    </xf>
    <xf numFmtId="0" fontId="22" fillId="15" borderId="0" xfId="0" applyFont="1" applyFill="1" applyBorder="1" applyAlignment="1">
      <alignment horizontal="left" vertical="center"/>
    </xf>
    <xf numFmtId="0" fontId="0" fillId="15" borderId="0" xfId="0" applyFill="1"/>
    <xf numFmtId="0" fontId="0" fillId="15" borderId="0" xfId="0" applyFill="1" applyAlignment="1">
      <alignment vertical="center"/>
    </xf>
    <xf numFmtId="0" fontId="75" fillId="4" borderId="0" xfId="0" applyFont="1" applyFill="1" applyBorder="1" applyAlignment="1">
      <alignment horizontal="left" vertical="center"/>
    </xf>
    <xf numFmtId="0" fontId="41" fillId="4" borderId="0" xfId="0" applyFont="1" applyFill="1" applyAlignment="1">
      <alignment vertical="center"/>
    </xf>
    <xf numFmtId="0" fontId="38" fillId="4" borderId="0" xfId="0" applyFont="1" applyFill="1" applyAlignment="1">
      <alignment horizontal="left" vertical="center"/>
    </xf>
    <xf numFmtId="0" fontId="17" fillId="15" borderId="0" xfId="0" applyFont="1" applyFill="1" applyAlignment="1">
      <alignment horizontal="left" vertical="center"/>
    </xf>
    <xf numFmtId="0" fontId="17" fillId="4" borderId="15" xfId="0" applyFont="1" applyFill="1" applyBorder="1" applyAlignment="1">
      <alignment vertical="top" wrapText="1"/>
    </xf>
    <xf numFmtId="0" fontId="11" fillId="7" borderId="0" xfId="0" applyFont="1" applyFill="1" applyBorder="1" applyAlignment="1">
      <alignment horizontal="center" vertical="center"/>
    </xf>
    <xf numFmtId="0" fontId="11" fillId="7" borderId="2" xfId="0" applyFont="1" applyFill="1" applyBorder="1" applyAlignment="1">
      <alignment horizontal="center" vertical="center"/>
    </xf>
    <xf numFmtId="20" fontId="11" fillId="7" borderId="0" xfId="0" applyNumberFormat="1" applyFont="1" applyFill="1" applyBorder="1" applyAlignment="1">
      <alignment horizontal="center" vertical="center"/>
    </xf>
    <xf numFmtId="49" fontId="11" fillId="7" borderId="0" xfId="0" applyNumberFormat="1" applyFont="1" applyFill="1" applyBorder="1" applyAlignment="1">
      <alignment horizontal="center" vertical="center"/>
    </xf>
    <xf numFmtId="0" fontId="2" fillId="4" borderId="11" xfId="0" applyNumberFormat="1" applyFont="1" applyFill="1" applyBorder="1" applyAlignment="1">
      <alignment horizontal="left" vertical="center"/>
    </xf>
    <xf numFmtId="0" fontId="2" fillId="4" borderId="2" xfId="0" applyNumberFormat="1" applyFont="1" applyFill="1" applyBorder="1" applyAlignment="1">
      <alignment horizontal="left" vertical="center"/>
    </xf>
    <xf numFmtId="0" fontId="26" fillId="4" borderId="0" xfId="0" applyFont="1" applyFill="1" applyBorder="1" applyAlignment="1">
      <alignment horizontal="right" vertical="center" indent="1"/>
    </xf>
    <xf numFmtId="2" fontId="26" fillId="4" borderId="0" xfId="0" applyNumberFormat="1" applyFont="1" applyFill="1" applyBorder="1" applyAlignment="1">
      <alignment horizontal="center" vertical="center"/>
    </xf>
    <xf numFmtId="2" fontId="22" fillId="4" borderId="0" xfId="0" applyNumberFormat="1" applyFont="1" applyFill="1" applyBorder="1" applyAlignment="1">
      <alignment horizontal="center" vertical="center" wrapText="1"/>
    </xf>
    <xf numFmtId="0" fontId="22" fillId="4" borderId="0" xfId="0" applyFont="1" applyFill="1" applyBorder="1" applyAlignment="1">
      <alignment horizontal="right" vertical="center"/>
    </xf>
    <xf numFmtId="2" fontId="12" fillId="4" borderId="0" xfId="0" applyNumberFormat="1" applyFont="1" applyFill="1" applyBorder="1" applyAlignment="1">
      <alignment horizontal="center" vertical="center" wrapText="1"/>
    </xf>
    <xf numFmtId="0" fontId="2" fillId="4" borderId="0" xfId="0" applyFont="1" applyFill="1" applyBorder="1" applyAlignment="1">
      <alignment horizontal="left" vertical="center" wrapText="1" indent="1"/>
    </xf>
    <xf numFmtId="0" fontId="40" fillId="4" borderId="0" xfId="0" applyFont="1" applyFill="1" applyBorder="1" applyAlignment="1">
      <alignment vertical="center"/>
    </xf>
    <xf numFmtId="0" fontId="0" fillId="4" borderId="0" xfId="0" applyFill="1" applyBorder="1" applyAlignment="1">
      <alignment vertical="top" wrapText="1"/>
    </xf>
    <xf numFmtId="0" fontId="47" fillId="4" borderId="0" xfId="0" applyFont="1" applyFill="1" applyBorder="1" applyAlignment="1">
      <alignment vertical="center"/>
    </xf>
    <xf numFmtId="0" fontId="6" fillId="4" borderId="0" xfId="0" applyFont="1" applyFill="1" applyBorder="1" applyAlignment="1">
      <alignment horizontal="center" vertical="center"/>
    </xf>
    <xf numFmtId="0" fontId="0" fillId="4" borderId="12" xfId="0" applyFont="1" applyFill="1" applyBorder="1" applyAlignment="1">
      <alignment horizontal="left" vertical="center"/>
    </xf>
    <xf numFmtId="0" fontId="17" fillId="4" borderId="0" xfId="0" applyFont="1" applyFill="1" applyBorder="1" applyAlignment="1">
      <alignment vertical="top" wrapText="1"/>
    </xf>
    <xf numFmtId="0" fontId="72" fillId="4" borderId="4" xfId="0" applyFont="1" applyFill="1" applyBorder="1" applyAlignment="1">
      <alignment horizontal="left" vertical="center"/>
    </xf>
    <xf numFmtId="0" fontId="0" fillId="32" borderId="0" xfId="0" applyFont="1" applyFill="1" applyAlignment="1">
      <alignment horizontal="left" vertical="center"/>
    </xf>
    <xf numFmtId="0" fontId="2" fillId="32" borderId="0" xfId="0" applyFont="1" applyFill="1" applyAlignment="1">
      <alignment horizontal="center" vertical="center"/>
    </xf>
    <xf numFmtId="0" fontId="0" fillId="32" borderId="0" xfId="0" applyFont="1" applyFill="1" applyBorder="1" applyAlignment="1">
      <alignment horizontal="center" vertical="center"/>
    </xf>
    <xf numFmtId="0" fontId="0" fillId="0" borderId="0" xfId="0"/>
    <xf numFmtId="0" fontId="0" fillId="0" borderId="0" xfId="0"/>
    <xf numFmtId="0" fontId="0" fillId="4" borderId="0" xfId="0" applyFont="1" applyFill="1" applyBorder="1" applyAlignment="1">
      <alignment horizontal="center" vertical="center"/>
    </xf>
    <xf numFmtId="0" fontId="22" fillId="4" borderId="2" xfId="0" applyFont="1" applyFill="1" applyBorder="1" applyAlignment="1">
      <alignment horizontal="center" vertical="center"/>
    </xf>
    <xf numFmtId="49" fontId="22" fillId="4" borderId="2" xfId="0" applyNumberFormat="1" applyFont="1" applyFill="1" applyBorder="1" applyAlignment="1">
      <alignment horizontal="center" vertical="center"/>
    </xf>
    <xf numFmtId="0" fontId="17" fillId="0" borderId="0" xfId="0" applyFont="1" applyFill="1" applyBorder="1" applyAlignment="1">
      <alignment horizontal="center" vertical="center"/>
    </xf>
    <xf numFmtId="0" fontId="0" fillId="4" borderId="1" xfId="0" applyFont="1" applyFill="1" applyBorder="1" applyAlignment="1">
      <alignment horizontal="left" vertical="center"/>
    </xf>
    <xf numFmtId="0" fontId="0" fillId="4" borderId="11" xfId="0" applyFont="1" applyFill="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0" fillId="0" borderId="11" xfId="0" applyFont="1" applyBorder="1" applyAlignment="1">
      <alignment horizontal="left" vertical="center"/>
    </xf>
    <xf numFmtId="0" fontId="0" fillId="4" borderId="1" xfId="0" applyFill="1" applyBorder="1" applyAlignment="1">
      <alignment horizontal="left" vertical="center" wrapText="1"/>
    </xf>
    <xf numFmtId="0" fontId="0" fillId="4" borderId="12" xfId="0" applyFill="1" applyBorder="1" applyAlignment="1">
      <alignment horizontal="left" vertical="center"/>
    </xf>
    <xf numFmtId="0" fontId="0" fillId="4" borderId="12" xfId="0" applyFont="1" applyFill="1" applyBorder="1" applyAlignment="1">
      <alignment horizontal="left" vertical="center" wrapText="1"/>
    </xf>
    <xf numFmtId="0" fontId="0" fillId="4" borderId="12" xfId="0" applyFont="1" applyFill="1" applyBorder="1" applyAlignment="1">
      <alignment vertical="center"/>
    </xf>
    <xf numFmtId="0" fontId="29" fillId="4" borderId="12" xfId="1" applyFont="1" applyFill="1" applyBorder="1" applyAlignment="1" applyProtection="1">
      <alignment horizontal="left" vertical="center"/>
    </xf>
    <xf numFmtId="0" fontId="0" fillId="4" borderId="11" xfId="0" applyFont="1" applyFill="1" applyBorder="1" applyAlignment="1">
      <alignment vertical="center"/>
    </xf>
    <xf numFmtId="0" fontId="30" fillId="4" borderId="11" xfId="1" applyFont="1" applyFill="1" applyBorder="1" applyAlignment="1" applyProtection="1">
      <alignment horizontal="left" vertical="center"/>
    </xf>
    <xf numFmtId="0" fontId="12" fillId="18" borderId="2" xfId="0" applyFont="1" applyFill="1" applyBorder="1" applyAlignment="1" applyProtection="1">
      <alignment horizontal="center" vertical="center"/>
      <protection locked="0"/>
    </xf>
    <xf numFmtId="0" fontId="34" fillId="18" borderId="2" xfId="0" applyNumberFormat="1" applyFont="1" applyFill="1" applyBorder="1" applyAlignment="1" applyProtection="1">
      <alignment horizontal="center" vertical="center"/>
      <protection locked="0"/>
    </xf>
    <xf numFmtId="0" fontId="0" fillId="18" borderId="0" xfId="0" applyFill="1"/>
    <xf numFmtId="2" fontId="0" fillId="18" borderId="0" xfId="0" applyNumberFormat="1" applyFill="1" applyAlignment="1">
      <alignment horizontal="left" vertical="center"/>
    </xf>
    <xf numFmtId="0" fontId="78" fillId="0" borderId="0" xfId="0" applyFont="1"/>
    <xf numFmtId="0" fontId="0" fillId="30" borderId="0" xfId="0" applyFill="1"/>
    <xf numFmtId="0" fontId="0" fillId="33" borderId="0" xfId="0" applyFill="1"/>
    <xf numFmtId="0" fontId="0" fillId="33" borderId="10" xfId="0" applyFill="1" applyBorder="1"/>
    <xf numFmtId="0" fontId="0" fillId="33" borderId="0" xfId="0" applyFont="1" applyFill="1" applyBorder="1"/>
    <xf numFmtId="0" fontId="2" fillId="4" borderId="0" xfId="0" applyFont="1" applyFill="1"/>
    <xf numFmtId="0" fontId="2" fillId="4" borderId="0" xfId="0" applyFont="1" applyFill="1" applyAlignment="1">
      <alignment horizontal="left" indent="1"/>
    </xf>
    <xf numFmtId="0" fontId="2" fillId="4" borderId="0" xfId="0" applyFont="1" applyFill="1" applyAlignment="1">
      <alignment horizontal="center"/>
    </xf>
    <xf numFmtId="0" fontId="2" fillId="4" borderId="0" xfId="0" applyFont="1" applyFill="1" applyBorder="1" applyAlignment="1">
      <alignment horizontal="left" indent="1"/>
    </xf>
    <xf numFmtId="0" fontId="0" fillId="4" borderId="0" xfId="0" applyFill="1" applyBorder="1" applyAlignment="1">
      <alignment horizontal="left" indent="1"/>
    </xf>
    <xf numFmtId="0" fontId="0" fillId="4" borderId="0" xfId="0" applyFill="1" applyBorder="1"/>
    <xf numFmtId="0" fontId="0" fillId="4" borderId="4" xfId="0" applyFill="1" applyBorder="1"/>
    <xf numFmtId="0" fontId="2" fillId="4" borderId="4" xfId="0" applyFont="1" applyFill="1" applyBorder="1"/>
    <xf numFmtId="0" fontId="21" fillId="4" borderId="0" xfId="0" applyFont="1" applyFill="1"/>
    <xf numFmtId="0" fontId="0" fillId="24" borderId="0" xfId="0" applyFill="1"/>
    <xf numFmtId="2" fontId="0" fillId="0" borderId="0" xfId="0" applyNumberFormat="1"/>
    <xf numFmtId="0" fontId="0" fillId="34" borderId="0" xfId="0" applyFill="1"/>
    <xf numFmtId="0" fontId="0" fillId="4" borderId="0" xfId="0" applyFill="1" applyAlignment="1">
      <alignment horizontal="left" vertical="center" wrapText="1"/>
    </xf>
    <xf numFmtId="0" fontId="0" fillId="4" borderId="0" xfId="0" applyFill="1" applyAlignment="1">
      <alignment horizontal="left" wrapText="1"/>
    </xf>
    <xf numFmtId="0" fontId="79" fillId="24" borderId="0" xfId="0" applyFont="1" applyFill="1"/>
    <xf numFmtId="0" fontId="0" fillId="11" borderId="0" xfId="0" applyFill="1" applyAlignment="1">
      <alignment horizontal="center"/>
    </xf>
    <xf numFmtId="0" fontId="0" fillId="0" borderId="2" xfId="0" applyBorder="1"/>
    <xf numFmtId="0" fontId="0" fillId="9" borderId="0" xfId="0" applyFill="1"/>
    <xf numFmtId="0" fontId="0" fillId="0" borderId="0" xfId="0" applyBorder="1"/>
    <xf numFmtId="0" fontId="2" fillId="9" borderId="0" xfId="0" applyFont="1" applyFill="1"/>
    <xf numFmtId="0" fontId="80" fillId="4" borderId="0" xfId="0" applyFont="1" applyFill="1" applyAlignment="1">
      <alignment horizontal="right" vertical="center"/>
    </xf>
    <xf numFmtId="0" fontId="80" fillId="4" borderId="0" xfId="0" applyFont="1" applyFill="1" applyAlignment="1">
      <alignment horizontal="left" vertical="center"/>
    </xf>
    <xf numFmtId="0" fontId="0" fillId="35" borderId="0" xfId="0" applyFill="1"/>
    <xf numFmtId="0" fontId="8" fillId="35" borderId="0" xfId="0" applyNumberFormat="1" applyFont="1" applyFill="1" applyBorder="1" applyAlignment="1">
      <alignment horizontal="center" vertical="center"/>
    </xf>
    <xf numFmtId="0" fontId="2" fillId="4" borderId="0" xfId="0" applyFont="1" applyFill="1" applyBorder="1" applyAlignment="1">
      <alignment horizontal="left" vertical="center"/>
    </xf>
    <xf numFmtId="0" fontId="21" fillId="4" borderId="4" xfId="0" applyFont="1" applyFill="1" applyBorder="1" applyAlignment="1">
      <alignment horizontal="center" vertical="center"/>
    </xf>
    <xf numFmtId="0" fontId="0" fillId="4" borderId="0" xfId="0" applyFill="1" applyBorder="1" applyAlignment="1">
      <alignment vertical="center" wrapText="1"/>
    </xf>
    <xf numFmtId="0" fontId="8" fillId="4" borderId="0" xfId="0" applyFont="1" applyFill="1" applyBorder="1" applyAlignment="1">
      <alignment horizontal="center" vertical="center"/>
    </xf>
    <xf numFmtId="0" fontId="2" fillId="4" borderId="0" xfId="0" applyFont="1" applyFill="1" applyBorder="1"/>
    <xf numFmtId="0" fontId="0" fillId="4" borderId="0" xfId="0" applyFill="1" applyBorder="1" applyAlignment="1">
      <alignment horizontal="right"/>
    </xf>
    <xf numFmtId="0" fontId="0" fillId="4" borderId="0" xfId="0" applyFill="1" applyAlignment="1">
      <alignment vertical="center" wrapText="1"/>
    </xf>
    <xf numFmtId="0" fontId="80" fillId="4" borderId="0" xfId="0" applyFont="1" applyFill="1" applyAlignment="1">
      <alignment vertical="center"/>
    </xf>
    <xf numFmtId="0" fontId="2" fillId="11" borderId="0" xfId="0" applyFont="1" applyFill="1" applyAlignment="1">
      <alignment horizontal="center"/>
    </xf>
    <xf numFmtId="0" fontId="0" fillId="27" borderId="0" xfId="0" applyFill="1"/>
    <xf numFmtId="0" fontId="2" fillId="4" borderId="2" xfId="0" applyFont="1" applyFill="1" applyBorder="1" applyAlignment="1">
      <alignment horizontal="left" vertical="center"/>
    </xf>
    <xf numFmtId="0" fontId="0" fillId="4" borderId="4" xfId="0" applyFill="1" applyBorder="1" applyAlignment="1">
      <alignment vertical="center"/>
    </xf>
    <xf numFmtId="0" fontId="34" fillId="18" borderId="11" xfId="0" applyNumberFormat="1" applyFont="1" applyFill="1" applyBorder="1" applyAlignment="1" applyProtection="1">
      <alignment horizontal="center" vertical="center"/>
      <protection locked="0"/>
    </xf>
    <xf numFmtId="0" fontId="8" fillId="4" borderId="2" xfId="0" applyFont="1" applyFill="1" applyBorder="1" applyAlignment="1">
      <alignment horizontal="center" vertical="center"/>
    </xf>
    <xf numFmtId="2" fontId="2" fillId="4" borderId="0" xfId="0" applyNumberFormat="1" applyFont="1" applyFill="1" applyBorder="1" applyAlignment="1">
      <alignment horizontal="center" vertical="center"/>
    </xf>
    <xf numFmtId="0" fontId="21" fillId="4" borderId="12" xfId="0" applyFont="1" applyFill="1" applyBorder="1" applyAlignment="1">
      <alignment horizontal="center" vertical="center"/>
    </xf>
    <xf numFmtId="2" fontId="2" fillId="4" borderId="10" xfId="0" applyNumberFormat="1" applyFont="1" applyFill="1" applyBorder="1" applyAlignment="1">
      <alignment horizontal="center" vertical="center"/>
    </xf>
    <xf numFmtId="2" fontId="2" fillId="4" borderId="6" xfId="0" applyNumberFormat="1" applyFont="1" applyFill="1" applyBorder="1" applyAlignment="1">
      <alignment horizontal="center" vertical="center"/>
    </xf>
    <xf numFmtId="0" fontId="21" fillId="4" borderId="9" xfId="0" applyFont="1" applyFill="1" applyBorder="1" applyAlignment="1">
      <alignment horizontal="center" vertical="center"/>
    </xf>
    <xf numFmtId="2" fontId="2" fillId="4" borderId="9" xfId="0" applyNumberFormat="1" applyFont="1" applyFill="1" applyBorder="1" applyAlignment="1">
      <alignment horizontal="center" vertical="center"/>
    </xf>
    <xf numFmtId="2" fontId="2" fillId="4" borderId="13" xfId="0" applyNumberFormat="1" applyFont="1" applyFill="1" applyBorder="1" applyAlignment="1">
      <alignment horizontal="center" vertical="center"/>
    </xf>
    <xf numFmtId="2" fontId="2" fillId="4" borderId="7" xfId="0" applyNumberFormat="1" applyFont="1" applyFill="1" applyBorder="1" applyAlignment="1">
      <alignment horizontal="center" vertical="center"/>
    </xf>
    <xf numFmtId="49" fontId="17" fillId="0" borderId="0" xfId="0" applyNumberFormat="1" applyFont="1" applyFill="1" applyBorder="1" applyAlignment="1">
      <alignment horizontal="left" vertical="center"/>
    </xf>
    <xf numFmtId="49" fontId="17" fillId="0" borderId="0" xfId="0" applyNumberFormat="1" applyFont="1" applyFill="1" applyBorder="1" applyAlignment="1">
      <alignment horizontal="center" vertical="center"/>
    </xf>
    <xf numFmtId="49" fontId="22" fillId="0" borderId="0" xfId="0" applyNumberFormat="1" applyFont="1" applyFill="1" applyBorder="1" applyAlignment="1">
      <alignment horizontal="center" vertical="center"/>
    </xf>
    <xf numFmtId="0" fontId="17" fillId="4" borderId="2" xfId="0" applyFont="1" applyFill="1" applyBorder="1" applyAlignment="1">
      <alignment horizontal="center" vertical="center"/>
    </xf>
    <xf numFmtId="0" fontId="34" fillId="4" borderId="2" xfId="0" applyNumberFormat="1" applyFont="1" applyFill="1" applyBorder="1" applyAlignment="1">
      <alignment horizontal="center" vertical="center"/>
    </xf>
    <xf numFmtId="0" fontId="17" fillId="4" borderId="0" xfId="0" applyNumberFormat="1" applyFont="1" applyFill="1" applyBorder="1" applyAlignment="1">
      <alignment horizontal="left" vertical="center" indent="1"/>
    </xf>
    <xf numFmtId="0" fontId="34" fillId="4" borderId="0" xfId="0" applyNumberFormat="1" applyFont="1" applyFill="1" applyBorder="1" applyAlignment="1">
      <alignment horizontal="center" vertical="center"/>
    </xf>
    <xf numFmtId="2" fontId="17" fillId="0" borderId="0" xfId="0" applyNumberFormat="1" applyFont="1" applyAlignment="1">
      <alignment horizontal="center" vertical="center"/>
    </xf>
    <xf numFmtId="0" fontId="17" fillId="4" borderId="7" xfId="0" applyFont="1" applyFill="1" applyBorder="1" applyAlignment="1">
      <alignment horizontal="center" vertical="center"/>
    </xf>
    <xf numFmtId="0" fontId="22" fillId="15" borderId="5" xfId="0" applyFont="1" applyFill="1" applyBorder="1" applyAlignment="1">
      <alignment horizontal="left" vertical="center"/>
    </xf>
    <xf numFmtId="0" fontId="22" fillId="15" borderId="4" xfId="0" applyFont="1" applyFill="1" applyBorder="1" applyAlignment="1">
      <alignment horizontal="left" vertical="center"/>
    </xf>
    <xf numFmtId="0" fontId="34" fillId="15" borderId="4" xfId="0" applyFont="1" applyFill="1" applyBorder="1" applyAlignment="1">
      <alignment horizontal="center" vertical="center"/>
    </xf>
    <xf numFmtId="0" fontId="22" fillId="15" borderId="4" xfId="0" applyFont="1" applyFill="1" applyBorder="1" applyAlignment="1">
      <alignment horizontal="center" vertical="center"/>
    </xf>
    <xf numFmtId="0" fontId="17" fillId="15" borderId="3" xfId="0" applyFont="1" applyFill="1" applyBorder="1" applyAlignment="1">
      <alignment horizontal="center" vertical="center"/>
    </xf>
    <xf numFmtId="0" fontId="0" fillId="4" borderId="8" xfId="0" applyFont="1" applyFill="1" applyBorder="1" applyAlignment="1">
      <alignment horizontal="center" vertical="center"/>
    </xf>
    <xf numFmtId="0" fontId="13" fillId="4" borderId="0" xfId="0" applyFont="1" applyFill="1" applyBorder="1" applyAlignment="1">
      <alignment horizontal="left" vertical="center"/>
    </xf>
    <xf numFmtId="0" fontId="21" fillId="4" borderId="15" xfId="0" applyFont="1" applyFill="1" applyBorder="1" applyAlignment="1">
      <alignment horizontal="center" vertical="center"/>
    </xf>
    <xf numFmtId="0" fontId="17" fillId="4" borderId="15" xfId="0" applyNumberFormat="1" applyFont="1" applyFill="1" applyBorder="1" applyAlignment="1">
      <alignment vertical="top" wrapText="1"/>
    </xf>
    <xf numFmtId="0" fontId="2" fillId="4" borderId="15" xfId="0" applyNumberFormat="1" applyFont="1" applyFill="1" applyBorder="1" applyAlignment="1">
      <alignment vertical="center" wrapText="1"/>
    </xf>
    <xf numFmtId="0" fontId="0" fillId="4" borderId="14" xfId="0" applyFont="1" applyFill="1" applyBorder="1" applyAlignment="1">
      <alignment vertical="center"/>
    </xf>
    <xf numFmtId="0" fontId="5" fillId="0" borderId="0" xfId="0" applyFont="1" applyFill="1" applyBorder="1" applyAlignment="1">
      <alignment horizontal="center" vertical="center"/>
    </xf>
    <xf numFmtId="0" fontId="81" fillId="32" borderId="0" xfId="0" applyFont="1" applyFill="1" applyAlignment="1">
      <alignment horizontal="center" vertical="center"/>
    </xf>
    <xf numFmtId="2" fontId="0" fillId="28" borderId="0" xfId="0" applyNumberFormat="1" applyFill="1" applyAlignment="1">
      <alignment horizontal="center" vertical="center"/>
    </xf>
    <xf numFmtId="2" fontId="33" fillId="13" borderId="0" xfId="0" applyNumberFormat="1" applyFont="1" applyFill="1" applyAlignment="1">
      <alignment horizontal="center" vertical="center"/>
    </xf>
    <xf numFmtId="0" fontId="82" fillId="0" borderId="0" xfId="0" applyFont="1"/>
    <xf numFmtId="0" fontId="82" fillId="4" borderId="0" xfId="0" applyFont="1" applyFill="1"/>
    <xf numFmtId="2" fontId="8" fillId="4" borderId="0" xfId="0" applyNumberFormat="1" applyFont="1" applyFill="1" applyBorder="1" applyAlignment="1">
      <alignment vertical="center"/>
    </xf>
    <xf numFmtId="0" fontId="0" fillId="2" borderId="0" xfId="0" applyFill="1"/>
    <xf numFmtId="0" fontId="2" fillId="4" borderId="0" xfId="0" applyFont="1" applyFill="1" applyAlignment="1">
      <alignment horizontal="left" vertical="center"/>
    </xf>
    <xf numFmtId="0" fontId="0" fillId="4" borderId="0" xfId="0" applyFill="1" applyAlignment="1">
      <alignment wrapText="1"/>
    </xf>
    <xf numFmtId="0" fontId="0" fillId="4" borderId="28" xfId="0" applyFill="1" applyBorder="1"/>
    <xf numFmtId="0" fontId="2" fillId="4" borderId="28" xfId="0" applyFont="1" applyFill="1" applyBorder="1" applyAlignment="1">
      <alignment vertical="center" wrapText="1"/>
    </xf>
    <xf numFmtId="0" fontId="0" fillId="4" borderId="0" xfId="0" applyFill="1" applyAlignment="1">
      <alignment vertical="top" wrapText="1"/>
    </xf>
    <xf numFmtId="0" fontId="2" fillId="4" borderId="4" xfId="0" applyFont="1" applyFill="1" applyBorder="1" applyAlignment="1">
      <alignment vertical="center"/>
    </xf>
    <xf numFmtId="0" fontId="0" fillId="4" borderId="28" xfId="0" applyFill="1" applyBorder="1" applyAlignment="1">
      <alignment horizontal="left" vertical="center"/>
    </xf>
    <xf numFmtId="0" fontId="2" fillId="4" borderId="0" xfId="0" applyFont="1" applyFill="1" applyAlignment="1">
      <alignment horizontal="left" vertical="top"/>
    </xf>
    <xf numFmtId="0" fontId="2" fillId="4" borderId="0" xfId="0" applyFont="1" applyFill="1" applyBorder="1" applyAlignment="1">
      <alignment horizontal="left" vertical="center" indent="1"/>
    </xf>
    <xf numFmtId="0" fontId="2" fillId="4" borderId="0" xfId="0" applyFont="1" applyFill="1" applyBorder="1" applyAlignment="1">
      <alignment horizontal="center" vertical="top"/>
    </xf>
    <xf numFmtId="0" fontId="21" fillId="4" borderId="0" xfId="0" applyFont="1" applyFill="1" applyBorder="1" applyAlignment="1"/>
    <xf numFmtId="0" fontId="0" fillId="0" borderId="0" xfId="0" applyAlignment="1">
      <alignment horizontal="right"/>
    </xf>
    <xf numFmtId="2" fontId="21" fillId="4" borderId="0" xfId="0" applyNumberFormat="1" applyFont="1" applyFill="1" applyBorder="1" applyAlignment="1">
      <alignment vertical="center"/>
    </xf>
    <xf numFmtId="2" fontId="0" fillId="4" borderId="0" xfId="0" applyNumberFormat="1" applyFill="1" applyBorder="1" applyAlignment="1">
      <alignment horizontal="right" vertical="center" indent="1"/>
    </xf>
    <xf numFmtId="0" fontId="0" fillId="14" borderId="0" xfId="0" applyFill="1"/>
    <xf numFmtId="2" fontId="21" fillId="4" borderId="0" xfId="0" applyNumberFormat="1" applyFont="1" applyFill="1" applyBorder="1" applyAlignment="1">
      <alignment horizontal="center" vertical="center"/>
    </xf>
    <xf numFmtId="0" fontId="0" fillId="4" borderId="9" xfId="0" applyFont="1" applyFill="1" applyBorder="1" applyAlignment="1">
      <alignment horizontal="center"/>
    </xf>
    <xf numFmtId="0" fontId="8" fillId="4" borderId="15" xfId="0" applyNumberFormat="1" applyFont="1" applyFill="1" applyBorder="1" applyAlignment="1">
      <alignment horizontal="center" vertical="center"/>
    </xf>
    <xf numFmtId="0" fontId="0" fillId="4" borderId="13" xfId="0" applyFont="1" applyFill="1" applyBorder="1" applyAlignment="1">
      <alignment horizontal="center"/>
    </xf>
    <xf numFmtId="0" fontId="21" fillId="4" borderId="10" xfId="0" applyFont="1" applyFill="1" applyBorder="1" applyAlignment="1">
      <alignment horizontal="center" vertical="center"/>
    </xf>
    <xf numFmtId="0" fontId="8" fillId="4" borderId="14" xfId="0" applyNumberFormat="1" applyFont="1" applyFill="1" applyBorder="1" applyAlignment="1">
      <alignment horizontal="center" vertical="center"/>
    </xf>
    <xf numFmtId="0" fontId="83" fillId="24" borderId="0" xfId="0" applyFont="1" applyFill="1"/>
    <xf numFmtId="0" fontId="83" fillId="0" borderId="0" xfId="0" applyFont="1" applyFill="1"/>
    <xf numFmtId="0" fontId="83" fillId="0" borderId="0" xfId="0" applyFont="1"/>
    <xf numFmtId="0" fontId="17" fillId="4" borderId="0" xfId="0" applyFont="1" applyFill="1" applyAlignment="1">
      <alignment horizontal="left" vertical="center" indent="1"/>
    </xf>
    <xf numFmtId="0" fontId="17" fillId="4" borderId="0" xfId="0" applyFont="1" applyFill="1" applyBorder="1" applyAlignment="1">
      <alignment horizontal="left" vertical="center" indent="3"/>
    </xf>
    <xf numFmtId="0" fontId="22" fillId="4" borderId="0" xfId="0" applyFont="1" applyFill="1" applyAlignment="1">
      <alignment horizontal="right" vertical="center" indent="1"/>
    </xf>
    <xf numFmtId="0" fontId="17" fillId="4" borderId="0" xfId="0" applyFont="1" applyFill="1" applyAlignment="1">
      <alignment horizontal="right" vertical="center" indent="1"/>
    </xf>
    <xf numFmtId="0" fontId="2" fillId="4" borderId="0" xfId="0" applyFont="1" applyFill="1" applyAlignment="1">
      <alignment horizontal="center"/>
    </xf>
    <xf numFmtId="0" fontId="0" fillId="4" borderId="0" xfId="0" applyFill="1" applyAlignment="1">
      <alignment horizontal="left" vertical="center" wrapText="1"/>
    </xf>
    <xf numFmtId="0" fontId="0" fillId="4" borderId="0" xfId="0" applyFill="1" applyAlignment="1">
      <alignment horizontal="left" wrapText="1"/>
    </xf>
    <xf numFmtId="0" fontId="2" fillId="4" borderId="0" xfId="0" applyFont="1" applyFill="1" applyBorder="1" applyAlignment="1">
      <alignment horizontal="center"/>
    </xf>
    <xf numFmtId="0" fontId="2" fillId="4" borderId="4" xfId="0" applyFont="1" applyFill="1" applyBorder="1" applyAlignment="1">
      <alignment horizontal="center"/>
    </xf>
    <xf numFmtId="0" fontId="0" fillId="4" borderId="0" xfId="0" applyFill="1" applyBorder="1" applyAlignment="1">
      <alignment horizontal="left" vertical="center" wrapText="1"/>
    </xf>
    <xf numFmtId="0" fontId="0" fillId="4" borderId="9" xfId="0" applyFont="1" applyFill="1" applyBorder="1" applyAlignment="1">
      <alignment horizontal="center" vertical="center"/>
    </xf>
    <xf numFmtId="0" fontId="0" fillId="4" borderId="13" xfId="0" applyFont="1" applyFill="1" applyBorder="1" applyAlignment="1">
      <alignment horizontal="center" vertical="center"/>
    </xf>
    <xf numFmtId="0" fontId="2" fillId="4" borderId="0" xfId="0" applyFont="1" applyFill="1" applyBorder="1" applyAlignment="1">
      <alignment horizontal="right" vertical="center"/>
    </xf>
    <xf numFmtId="0" fontId="22" fillId="4" borderId="0" xfId="0" applyFont="1" applyFill="1" applyBorder="1" applyAlignment="1">
      <alignment horizontal="center" vertical="center"/>
    </xf>
    <xf numFmtId="0" fontId="17" fillId="0" borderId="0" xfId="0" applyFont="1" applyFill="1" applyBorder="1" applyAlignment="1">
      <alignment horizontal="center" vertical="center"/>
    </xf>
    <xf numFmtId="0" fontId="77" fillId="4" borderId="0" xfId="0" applyFont="1" applyFill="1"/>
    <xf numFmtId="0" fontId="34" fillId="0" borderId="0" xfId="0" applyNumberFormat="1" applyFont="1" applyFill="1" applyBorder="1" applyAlignment="1">
      <alignment horizontal="center" vertical="center"/>
    </xf>
    <xf numFmtId="0" fontId="78" fillId="0" borderId="0" xfId="0" applyFont="1" applyFill="1" applyBorder="1"/>
    <xf numFmtId="0" fontId="0" fillId="12" borderId="0" xfId="0" applyFill="1"/>
    <xf numFmtId="0" fontId="77" fillId="4" borderId="0" xfId="0" applyFont="1" applyFill="1" applyBorder="1" applyAlignment="1">
      <alignment horizontal="left" vertical="center" indent="1"/>
    </xf>
    <xf numFmtId="0" fontId="0" fillId="15" borderId="0" xfId="0" applyFill="1" applyAlignment="1">
      <alignment horizontal="right"/>
    </xf>
    <xf numFmtId="0" fontId="0" fillId="18" borderId="0" xfId="0" applyFill="1" applyBorder="1"/>
    <xf numFmtId="0" fontId="2" fillId="4" borderId="4" xfId="0" applyFont="1" applyFill="1" applyBorder="1" applyAlignment="1">
      <alignment horizontal="left"/>
    </xf>
    <xf numFmtId="0" fontId="34" fillId="29" borderId="2" xfId="0" applyNumberFormat="1" applyFont="1" applyFill="1" applyBorder="1" applyAlignment="1">
      <alignment horizontal="center" vertical="center"/>
    </xf>
    <xf numFmtId="0" fontId="34" fillId="29" borderId="11" xfId="0" applyNumberFormat="1" applyFont="1" applyFill="1" applyBorder="1" applyAlignment="1">
      <alignment horizontal="center" vertical="center"/>
    </xf>
    <xf numFmtId="0" fontId="2" fillId="4" borderId="0" xfId="0" applyFont="1" applyFill="1" applyAlignment="1">
      <alignment horizontal="right" vertical="center"/>
    </xf>
    <xf numFmtId="0" fontId="0" fillId="4" borderId="0" xfId="0" applyFill="1" applyAlignment="1">
      <alignment horizontal="center"/>
    </xf>
    <xf numFmtId="0" fontId="0" fillId="4" borderId="0" xfId="0" applyFill="1" applyBorder="1" applyAlignment="1">
      <alignment horizontal="center" vertical="center"/>
    </xf>
    <xf numFmtId="3" fontId="2" fillId="4" borderId="0" xfId="0" applyNumberFormat="1" applyFont="1" applyFill="1" applyBorder="1"/>
    <xf numFmtId="0" fontId="2" fillId="4" borderId="7" xfId="0" applyFont="1" applyFill="1" applyBorder="1"/>
    <xf numFmtId="0" fontId="2" fillId="4" borderId="8" xfId="0" applyFont="1" applyFill="1" applyBorder="1"/>
    <xf numFmtId="0" fontId="0" fillId="4" borderId="9" xfId="0" applyFill="1" applyBorder="1" applyAlignment="1">
      <alignment horizontal="left" wrapText="1"/>
    </xf>
    <xf numFmtId="0" fontId="0" fillId="4" borderId="9" xfId="0" applyFill="1" applyBorder="1" applyAlignment="1">
      <alignment horizontal="left" vertical="center" wrapText="1"/>
    </xf>
    <xf numFmtId="0" fontId="8" fillId="4" borderId="10" xfId="0" applyNumberFormat="1" applyFont="1" applyFill="1" applyBorder="1" applyAlignment="1">
      <alignment horizontal="center" vertical="center"/>
    </xf>
    <xf numFmtId="0" fontId="0" fillId="4" borderId="10" xfId="0" applyFill="1" applyBorder="1"/>
    <xf numFmtId="3" fontId="2" fillId="4" borderId="10" xfId="0" applyNumberFormat="1" applyFont="1" applyFill="1" applyBorder="1"/>
    <xf numFmtId="0" fontId="0" fillId="0" borderId="0" xfId="0" applyFill="1" applyAlignment="1">
      <alignment horizontal="left"/>
    </xf>
    <xf numFmtId="3" fontId="0" fillId="0" borderId="0" xfId="0" applyNumberFormat="1" applyFill="1"/>
    <xf numFmtId="0" fontId="0" fillId="4" borderId="0" xfId="0" applyFill="1" applyAlignment="1">
      <alignment vertical="center"/>
    </xf>
    <xf numFmtId="0" fontId="0" fillId="4" borderId="10" xfId="0" applyFill="1" applyBorder="1" applyAlignment="1">
      <alignment horizontal="center" vertical="center"/>
    </xf>
    <xf numFmtId="0" fontId="0" fillId="4" borderId="0" xfId="0" applyFill="1" applyAlignment="1">
      <alignment horizontal="right" vertical="center"/>
    </xf>
    <xf numFmtId="3" fontId="2" fillId="7" borderId="0" xfId="0" applyNumberFormat="1" applyFont="1" applyFill="1" applyBorder="1" applyAlignment="1">
      <alignment horizontal="right" vertical="center"/>
    </xf>
    <xf numFmtId="3" fontId="2" fillId="4" borderId="0" xfId="0" applyNumberFormat="1" applyFont="1" applyFill="1" applyBorder="1" applyAlignment="1">
      <alignment horizontal="right" vertical="center"/>
    </xf>
    <xf numFmtId="3" fontId="2" fillId="4" borderId="10" xfId="0" applyNumberFormat="1" applyFont="1" applyFill="1" applyBorder="1" applyAlignment="1">
      <alignment horizontal="right" vertical="center"/>
    </xf>
    <xf numFmtId="0" fontId="2" fillId="4" borderId="0" xfId="0" applyNumberFormat="1" applyFont="1" applyFill="1" applyBorder="1" applyAlignment="1">
      <alignment horizontal="right" vertical="center"/>
    </xf>
    <xf numFmtId="0" fontId="84" fillId="4" borderId="0" xfId="0" applyFont="1" applyFill="1" applyBorder="1" applyAlignment="1">
      <alignment horizontal="center" vertical="center"/>
    </xf>
    <xf numFmtId="0" fontId="84" fillId="4" borderId="10" xfId="0" applyFont="1" applyFill="1" applyBorder="1" applyAlignment="1">
      <alignment horizontal="center" vertical="center"/>
    </xf>
    <xf numFmtId="0" fontId="0" fillId="4" borderId="0" xfId="0" applyFont="1" applyFill="1" applyBorder="1" applyAlignment="1">
      <alignment horizontal="right" vertical="center"/>
    </xf>
    <xf numFmtId="3" fontId="0" fillId="4" borderId="0" xfId="0" applyNumberFormat="1" applyFont="1" applyFill="1" applyBorder="1" applyAlignment="1">
      <alignment horizontal="right" vertical="center"/>
    </xf>
    <xf numFmtId="3" fontId="0" fillId="4" borderId="10" xfId="0" applyNumberFormat="1" applyFont="1" applyFill="1" applyBorder="1" applyAlignment="1">
      <alignment horizontal="right" vertical="center"/>
    </xf>
    <xf numFmtId="0" fontId="0" fillId="4" borderId="0" xfId="0" applyNumberFormat="1" applyFont="1" applyFill="1" applyBorder="1" applyAlignment="1">
      <alignment horizontal="right" vertical="center"/>
    </xf>
    <xf numFmtId="3" fontId="2" fillId="4" borderId="0" xfId="0" applyNumberFormat="1" applyFont="1" applyFill="1"/>
    <xf numFmtId="3" fontId="2" fillId="26" borderId="2" xfId="0" applyNumberFormat="1" applyFont="1" applyFill="1" applyBorder="1" applyAlignment="1">
      <alignment horizontal="center" vertical="center"/>
    </xf>
    <xf numFmtId="2" fontId="2" fillId="26" borderId="2" xfId="0" applyNumberFormat="1" applyFont="1" applyFill="1" applyBorder="1" applyAlignment="1">
      <alignment horizontal="center" vertical="center"/>
    </xf>
    <xf numFmtId="3" fontId="2" fillId="26" borderId="2" xfId="0" applyNumberFormat="1" applyFont="1" applyFill="1" applyBorder="1"/>
    <xf numFmtId="0" fontId="2" fillId="26" borderId="2" xfId="0" applyFont="1" applyFill="1" applyBorder="1"/>
    <xf numFmtId="4" fontId="2" fillId="26" borderId="2" xfId="0" applyNumberFormat="1" applyFont="1" applyFill="1" applyBorder="1" applyAlignment="1">
      <alignment horizontal="center" vertical="center"/>
    </xf>
    <xf numFmtId="0" fontId="59" fillId="4" borderId="0" xfId="0" applyFont="1" applyFill="1" applyBorder="1" applyAlignment="1">
      <alignment horizontal="center" vertical="center"/>
    </xf>
    <xf numFmtId="0" fontId="85" fillId="4" borderId="0" xfId="0" applyFont="1" applyFill="1" applyBorder="1" applyAlignment="1">
      <alignment horizontal="center" vertical="center"/>
    </xf>
    <xf numFmtId="0" fontId="21" fillId="4" borderId="0" xfId="0" applyFont="1" applyFill="1" applyBorder="1" applyAlignment="1">
      <alignment vertical="center"/>
    </xf>
    <xf numFmtId="0" fontId="0" fillId="24" borderId="0" xfId="0" applyFill="1" applyBorder="1"/>
    <xf numFmtId="0" fontId="0" fillId="37" borderId="0" xfId="0" applyFill="1"/>
    <xf numFmtId="4" fontId="7" fillId="4" borderId="0" xfId="0" applyNumberFormat="1" applyFont="1" applyFill="1" applyAlignment="1">
      <alignment horizontal="center"/>
    </xf>
    <xf numFmtId="0" fontId="7" fillId="4" borderId="0" xfId="0" applyFont="1" applyFill="1" applyAlignment="1">
      <alignment horizontal="center"/>
    </xf>
    <xf numFmtId="2" fontId="7" fillId="4" borderId="0" xfId="0" applyNumberFormat="1" applyFont="1" applyFill="1" applyAlignment="1">
      <alignment horizontal="center"/>
    </xf>
    <xf numFmtId="4" fontId="21" fillId="4" borderId="0" xfId="0" applyNumberFormat="1" applyFont="1" applyFill="1" applyAlignment="1">
      <alignment horizontal="center" vertical="center"/>
    </xf>
    <xf numFmtId="4" fontId="7" fillId="4" borderId="0" xfId="0" applyNumberFormat="1" applyFont="1" applyFill="1" applyAlignment="1">
      <alignment horizontal="center" vertical="center"/>
    </xf>
    <xf numFmtId="2" fontId="21" fillId="4" borderId="0" xfId="0" applyNumberFormat="1" applyFont="1" applyFill="1" applyAlignment="1">
      <alignment horizontal="center" vertical="center"/>
    </xf>
    <xf numFmtId="0" fontId="7" fillId="4" borderId="0" xfId="0" applyFont="1" applyFill="1" applyAlignment="1">
      <alignment horizontal="center" vertical="center"/>
    </xf>
    <xf numFmtId="2" fontId="7" fillId="4" borderId="0" xfId="0" applyNumberFormat="1" applyFont="1" applyFill="1" applyAlignment="1">
      <alignment horizontal="center" vertical="center"/>
    </xf>
    <xf numFmtId="0" fontId="21" fillId="4" borderId="0" xfId="0" applyFont="1" applyFill="1" applyAlignment="1">
      <alignment horizontal="center" vertical="center"/>
    </xf>
    <xf numFmtId="0" fontId="1" fillId="36" borderId="0" xfId="0" applyFont="1" applyFill="1" applyAlignment="1">
      <alignment horizontal="center" vertical="center"/>
    </xf>
    <xf numFmtId="0" fontId="8" fillId="7" borderId="0" xfId="0" applyFont="1" applyFill="1" applyAlignment="1">
      <alignment horizontal="center"/>
    </xf>
    <xf numFmtId="0" fontId="0" fillId="4" borderId="0" xfId="0" applyFill="1" applyBorder="1" applyAlignment="1">
      <alignment horizontal="left" wrapText="1"/>
    </xf>
    <xf numFmtId="0" fontId="0" fillId="4" borderId="0" xfId="0" applyFill="1" applyBorder="1" applyAlignment="1">
      <alignment horizontal="left"/>
    </xf>
    <xf numFmtId="0" fontId="0" fillId="7" borderId="0" xfId="0" applyFill="1"/>
    <xf numFmtId="0" fontId="8" fillId="7" borderId="9" xfId="0" applyFont="1" applyFill="1" applyBorder="1" applyAlignment="1">
      <alignment horizontal="center"/>
    </xf>
    <xf numFmtId="0" fontId="0" fillId="4" borderId="9" xfId="0" applyFill="1" applyBorder="1"/>
    <xf numFmtId="0" fontId="2" fillId="0" borderId="9" xfId="0" applyFont="1" applyBorder="1" applyAlignment="1">
      <alignment horizontal="center" vertical="center"/>
    </xf>
    <xf numFmtId="0" fontId="0" fillId="0" borderId="0" xfId="0" applyFill="1" applyBorder="1" applyAlignment="1">
      <alignment horizontal="left"/>
    </xf>
    <xf numFmtId="3" fontId="2" fillId="0" borderId="0" xfId="0" applyNumberFormat="1" applyFont="1" applyFill="1" applyBorder="1" applyAlignment="1">
      <alignment horizontal="left"/>
    </xf>
    <xf numFmtId="0" fontId="34" fillId="0" borderId="0" xfId="0" applyNumberFormat="1" applyFont="1" applyFill="1" applyBorder="1" applyAlignment="1">
      <alignment horizontal="left" vertical="center"/>
    </xf>
    <xf numFmtId="3" fontId="0" fillId="0" borderId="0" xfId="0" applyNumberFormat="1" applyFill="1" applyBorder="1" applyAlignment="1">
      <alignment horizontal="left"/>
    </xf>
    <xf numFmtId="0" fontId="0" fillId="7" borderId="0" xfId="0" applyFill="1" applyAlignment="1">
      <alignment horizontal="left"/>
    </xf>
    <xf numFmtId="0" fontId="0" fillId="7" borderId="0" xfId="0" applyFill="1" applyAlignment="1">
      <alignment horizontal="right"/>
    </xf>
    <xf numFmtId="0" fontId="0" fillId="2" borderId="0" xfId="0" applyFill="1" applyBorder="1" applyAlignment="1">
      <alignment horizontal="center" vertical="center"/>
    </xf>
    <xf numFmtId="0" fontId="0" fillId="4" borderId="0" xfId="0" applyFill="1" applyAlignment="1">
      <alignment horizontal="left" vertical="center"/>
    </xf>
    <xf numFmtId="3" fontId="2" fillId="26" borderId="2" xfId="0" applyNumberFormat="1" applyFont="1" applyFill="1" applyBorder="1" applyAlignment="1" applyProtection="1">
      <alignment horizontal="center" vertical="center"/>
      <protection locked="0"/>
    </xf>
    <xf numFmtId="0" fontId="0" fillId="2" borderId="0" xfId="0" applyFill="1" applyAlignment="1">
      <alignment horizontal="center"/>
    </xf>
    <xf numFmtId="0" fontId="2" fillId="35" borderId="0" xfId="0" applyFont="1" applyFill="1" applyAlignment="1">
      <alignment horizontal="center"/>
    </xf>
    <xf numFmtId="2" fontId="0" fillId="27" borderId="0" xfId="0" applyNumberFormat="1" applyFill="1" applyBorder="1"/>
    <xf numFmtId="0" fontId="59" fillId="4" borderId="0" xfId="0" applyFont="1" applyFill="1" applyAlignment="1">
      <alignment horizontal="center" vertical="center"/>
    </xf>
    <xf numFmtId="4" fontId="2" fillId="4" borderId="0" xfId="0" applyNumberFormat="1" applyFont="1" applyFill="1" applyBorder="1" applyAlignment="1">
      <alignment horizontal="right" vertical="center"/>
    </xf>
    <xf numFmtId="0" fontId="79" fillId="35" borderId="0" xfId="0" applyNumberFormat="1" applyFont="1" applyFill="1" applyBorder="1" applyAlignment="1">
      <alignment horizontal="left" vertical="center"/>
    </xf>
    <xf numFmtId="0" fontId="8" fillId="35" borderId="0" xfId="0" applyNumberFormat="1" applyFont="1" applyFill="1" applyBorder="1" applyAlignment="1">
      <alignment horizontal="left" vertical="center"/>
    </xf>
    <xf numFmtId="0" fontId="0" fillId="38" borderId="0" xfId="0" applyFill="1"/>
    <xf numFmtId="0" fontId="2" fillId="10" borderId="0" xfId="0" applyFont="1" applyFill="1" applyAlignment="1">
      <alignment horizontal="center"/>
    </xf>
    <xf numFmtId="0" fontId="0" fillId="10" borderId="0" xfId="0" applyFill="1"/>
    <xf numFmtId="0" fontId="57" fillId="4" borderId="0" xfId="0" applyFont="1" applyFill="1"/>
    <xf numFmtId="2" fontId="2" fillId="26" borderId="0" xfId="0" applyNumberFormat="1" applyFont="1" applyFill="1" applyBorder="1" applyAlignment="1">
      <alignment horizontal="center"/>
    </xf>
    <xf numFmtId="0" fontId="2" fillId="26" borderId="0" xfId="0" applyFont="1" applyFill="1" applyBorder="1" applyAlignment="1">
      <alignment horizontal="center"/>
    </xf>
    <xf numFmtId="164" fontId="0" fillId="0" borderId="0" xfId="0" applyNumberFormat="1" applyFill="1" applyAlignment="1">
      <alignment horizontal="center"/>
    </xf>
    <xf numFmtId="2" fontId="2" fillId="4" borderId="0" xfId="0" applyNumberFormat="1" applyFont="1" applyFill="1" applyBorder="1" applyAlignment="1">
      <alignment horizontal="center"/>
    </xf>
    <xf numFmtId="0" fontId="7" fillId="4" borderId="0" xfId="0" applyFont="1" applyFill="1" applyAlignment="1">
      <alignment horizontal="right"/>
    </xf>
    <xf numFmtId="0" fontId="23" fillId="4" borderId="8" xfId="0" applyFont="1" applyFill="1" applyBorder="1" applyAlignment="1">
      <alignment horizontal="left" vertical="center" wrapText="1"/>
    </xf>
    <xf numFmtId="0" fontId="0" fillId="4" borderId="0" xfId="0" applyFill="1" applyAlignment="1">
      <alignment horizontal="left" vertical="center" wrapText="1"/>
    </xf>
    <xf numFmtId="1" fontId="22" fillId="4" borderId="0" xfId="0" applyNumberFormat="1" applyFont="1" applyFill="1" applyBorder="1" applyAlignment="1">
      <alignment horizontal="center" vertical="center"/>
    </xf>
    <xf numFmtId="0" fontId="22" fillId="4" borderId="2" xfId="0" applyFont="1" applyFill="1" applyBorder="1" applyAlignment="1">
      <alignment horizontal="center" vertical="center"/>
    </xf>
    <xf numFmtId="0" fontId="22" fillId="4" borderId="11" xfId="0" applyFont="1" applyFill="1" applyBorder="1" applyAlignment="1">
      <alignment horizontal="center" vertical="center"/>
    </xf>
    <xf numFmtId="49" fontId="2" fillId="4" borderId="2" xfId="0" applyNumberFormat="1" applyFont="1" applyFill="1" applyBorder="1" applyAlignment="1">
      <alignment horizontal="center" vertical="center"/>
    </xf>
    <xf numFmtId="0" fontId="22"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12" xfId="0" applyFont="1" applyFill="1" applyBorder="1" applyAlignment="1">
      <alignment horizontal="center" vertical="center"/>
    </xf>
    <xf numFmtId="0" fontId="83" fillId="7" borderId="0" xfId="0" applyFont="1" applyFill="1"/>
    <xf numFmtId="4" fontId="2" fillId="26" borderId="2" xfId="0" applyNumberFormat="1" applyFont="1" applyFill="1" applyBorder="1" applyAlignment="1" applyProtection="1">
      <alignment horizontal="center" vertical="center"/>
      <protection locked="0"/>
    </xf>
    <xf numFmtId="2" fontId="0" fillId="0" borderId="0" xfId="0" applyNumberFormat="1" applyFill="1"/>
    <xf numFmtId="0" fontId="1" fillId="36" borderId="0" xfId="0" applyFont="1" applyFill="1" applyAlignment="1">
      <alignment horizontal="center"/>
    </xf>
    <xf numFmtId="0" fontId="0" fillId="39" borderId="0" xfId="0" applyFill="1"/>
    <xf numFmtId="0" fontId="0" fillId="0" borderId="0" xfId="0" applyFill="1" applyBorder="1" applyAlignment="1"/>
    <xf numFmtId="0" fontId="2" fillId="2" borderId="2" xfId="0" applyFont="1" applyFill="1" applyBorder="1" applyAlignment="1" applyProtection="1">
      <alignment horizontal="center" vertical="center"/>
      <protection locked="0"/>
    </xf>
    <xf numFmtId="0" fontId="22" fillId="4" borderId="4" xfId="0" applyFont="1" applyFill="1" applyBorder="1" applyAlignment="1"/>
    <xf numFmtId="1" fontId="22" fillId="4" borderId="0" xfId="0" applyNumberFormat="1" applyFont="1" applyFill="1" applyBorder="1" applyAlignment="1">
      <alignment vertical="center"/>
    </xf>
    <xf numFmtId="0" fontId="0" fillId="2" borderId="0" xfId="0" applyFont="1" applyFill="1" applyBorder="1" applyAlignment="1">
      <alignment vertical="center"/>
    </xf>
    <xf numFmtId="0" fontId="22" fillId="0" borderId="0" xfId="0" applyFont="1" applyFill="1" applyBorder="1" applyAlignment="1">
      <alignment horizontal="center"/>
    </xf>
    <xf numFmtId="0" fontId="0" fillId="4" borderId="3" xfId="0" applyFill="1" applyBorder="1" applyAlignment="1">
      <alignment vertical="center"/>
    </xf>
    <xf numFmtId="0" fontId="23" fillId="0" borderId="0" xfId="0" applyFont="1" applyFill="1" applyBorder="1" applyAlignment="1">
      <alignment horizontal="left" vertical="center"/>
    </xf>
    <xf numFmtId="0" fontId="34" fillId="0" borderId="0" xfId="0" applyFont="1" applyFill="1" applyBorder="1" applyAlignment="1">
      <alignment horizontal="left" vertical="center"/>
    </xf>
    <xf numFmtId="0" fontId="24"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23" fillId="0" borderId="0" xfId="0" applyNumberFormat="1" applyFont="1" applyFill="1" applyBorder="1" applyAlignment="1">
      <alignment horizontal="center" vertical="center"/>
    </xf>
    <xf numFmtId="0" fontId="24" fillId="0" borderId="0" xfId="0" applyFont="1" applyFill="1" applyBorder="1" applyAlignment="1">
      <alignment horizontal="left" vertical="center"/>
    </xf>
    <xf numFmtId="0" fontId="23" fillId="0" borderId="0" xfId="0" applyFont="1" applyFill="1" applyBorder="1" applyAlignment="1">
      <alignment horizontal="right" vertical="center"/>
    </xf>
    <xf numFmtId="0" fontId="23" fillId="0" borderId="0" xfId="0" applyFont="1" applyFill="1" applyBorder="1" applyAlignment="1">
      <alignment horizontal="left" vertical="center" wrapText="1"/>
    </xf>
    <xf numFmtId="0" fontId="0" fillId="8" borderId="0" xfId="0" applyFont="1" applyFill="1" applyBorder="1" applyAlignment="1">
      <alignment horizontal="center" vertical="center"/>
    </xf>
    <xf numFmtId="0" fontId="0" fillId="2" borderId="0" xfId="0" applyFill="1" applyBorder="1" applyAlignment="1">
      <alignment vertical="center"/>
    </xf>
    <xf numFmtId="2" fontId="21" fillId="14" borderId="11" xfId="0" applyNumberFormat="1" applyFont="1" applyFill="1" applyBorder="1" applyAlignment="1">
      <alignment horizontal="center" vertical="center"/>
    </xf>
    <xf numFmtId="0" fontId="22" fillId="2" borderId="9" xfId="0" applyFont="1" applyFill="1" applyBorder="1" applyAlignment="1">
      <alignment horizontal="left" vertical="center" indent="1"/>
    </xf>
    <xf numFmtId="0" fontId="21" fillId="2" borderId="0" xfId="0" applyFont="1" applyFill="1" applyBorder="1" applyAlignment="1">
      <alignment horizontal="center" vertical="center"/>
    </xf>
    <xf numFmtId="2" fontId="21" fillId="2" borderId="2" xfId="0" applyNumberFormat="1" applyFont="1" applyFill="1" applyBorder="1" applyAlignment="1">
      <alignment horizontal="center" vertical="center"/>
    </xf>
    <xf numFmtId="2" fontId="22" fillId="2" borderId="14" xfId="0" applyNumberFormat="1" applyFont="1" applyFill="1" applyBorder="1" applyAlignment="1">
      <alignment horizontal="center" vertical="center"/>
    </xf>
    <xf numFmtId="2" fontId="0" fillId="2" borderId="0" xfId="0" applyNumberFormat="1" applyFont="1" applyFill="1" applyBorder="1" applyAlignment="1">
      <alignment horizontal="center" vertical="center"/>
    </xf>
    <xf numFmtId="0" fontId="0" fillId="2" borderId="0" xfId="0" applyFont="1" applyFill="1" applyBorder="1" applyAlignment="1">
      <alignment horizontal="center" vertical="center"/>
    </xf>
    <xf numFmtId="0" fontId="2" fillId="2" borderId="11" xfId="0" applyNumberFormat="1" applyFont="1" applyFill="1" applyBorder="1" applyAlignment="1">
      <alignment horizontal="center" vertical="center"/>
    </xf>
    <xf numFmtId="2" fontId="22" fillId="2" borderId="3" xfId="0" applyNumberFormat="1" applyFont="1" applyFill="1" applyBorder="1" applyAlignment="1">
      <alignment horizontal="center" vertical="center"/>
    </xf>
    <xf numFmtId="2" fontId="2" fillId="2" borderId="0" xfId="0" applyNumberFormat="1" applyFont="1" applyFill="1" applyBorder="1" applyAlignment="1">
      <alignment horizontal="center" vertical="center"/>
    </xf>
    <xf numFmtId="2" fontId="21" fillId="2" borderId="1" xfId="0" applyNumberFormat="1" applyFont="1" applyFill="1" applyBorder="1" applyAlignment="1">
      <alignment horizontal="center" vertical="center"/>
    </xf>
    <xf numFmtId="2" fontId="22" fillId="2" borderId="8" xfId="0" applyNumberFormat="1" applyFont="1" applyFill="1" applyBorder="1" applyAlignment="1">
      <alignment horizontal="center" vertical="center"/>
    </xf>
    <xf numFmtId="0" fontId="22" fillId="2" borderId="5" xfId="0" applyFont="1" applyFill="1" applyBorder="1" applyAlignment="1">
      <alignment horizontal="left" vertical="center" indent="1"/>
    </xf>
    <xf numFmtId="0" fontId="21" fillId="2" borderId="4" xfId="0" applyFont="1" applyFill="1" applyBorder="1" applyAlignment="1">
      <alignment horizontal="center" vertical="center"/>
    </xf>
    <xf numFmtId="2" fontId="0" fillId="2" borderId="3" xfId="0" applyNumberFormat="1" applyFont="1" applyFill="1" applyBorder="1" applyAlignment="1">
      <alignment horizontal="center" vertical="center"/>
    </xf>
    <xf numFmtId="0" fontId="23" fillId="2" borderId="9" xfId="0" applyFont="1" applyFill="1" applyBorder="1" applyAlignment="1">
      <alignment horizontal="left" vertical="center" indent="1"/>
    </xf>
    <xf numFmtId="0" fontId="59" fillId="4" borderId="3" xfId="0" applyFont="1" applyFill="1" applyBorder="1" applyAlignment="1">
      <alignment horizontal="center" vertical="center"/>
    </xf>
    <xf numFmtId="166" fontId="0" fillId="0" borderId="0" xfId="0" applyNumberFormat="1" applyFont="1" applyFill="1" applyBorder="1" applyAlignment="1">
      <alignment horizontal="center" vertical="center"/>
    </xf>
    <xf numFmtId="0" fontId="0" fillId="0" borderId="4" xfId="0" applyFont="1" applyBorder="1" applyAlignment="1">
      <alignment horizontal="center" vertical="center"/>
    </xf>
    <xf numFmtId="1" fontId="22" fillId="4" borderId="9" xfId="0" applyNumberFormat="1" applyFont="1" applyFill="1" applyBorder="1" applyAlignment="1">
      <alignment vertical="center"/>
    </xf>
    <xf numFmtId="1" fontId="22" fillId="4" borderId="15" xfId="0" applyNumberFormat="1" applyFont="1" applyFill="1" applyBorder="1" applyAlignment="1">
      <alignment vertical="center"/>
    </xf>
    <xf numFmtId="0" fontId="5" fillId="4" borderId="12" xfId="0" applyFont="1" applyFill="1" applyBorder="1" applyAlignment="1">
      <alignment horizontal="center" vertical="center"/>
    </xf>
    <xf numFmtId="0" fontId="0" fillId="4" borderId="3" xfId="0" applyFont="1" applyFill="1" applyBorder="1" applyAlignment="1">
      <alignment horizontal="left" vertical="center"/>
    </xf>
    <xf numFmtId="0" fontId="2" fillId="0" borderId="2" xfId="0" applyFont="1" applyBorder="1" applyAlignment="1">
      <alignment horizontal="center" vertical="center"/>
    </xf>
    <xf numFmtId="0" fontId="89" fillId="4" borderId="11" xfId="0" applyNumberFormat="1" applyFont="1" applyFill="1" applyBorder="1" applyAlignment="1">
      <alignment horizontal="center" vertical="center"/>
    </xf>
    <xf numFmtId="0" fontId="89" fillId="4" borderId="2" xfId="0" applyNumberFormat="1" applyFont="1" applyFill="1" applyBorder="1" applyAlignment="1">
      <alignment horizontal="center" vertical="center"/>
    </xf>
    <xf numFmtId="1" fontId="89" fillId="4" borderId="2" xfId="0" applyNumberFormat="1" applyFont="1" applyFill="1" applyBorder="1" applyAlignment="1">
      <alignment horizontal="center" vertical="center"/>
    </xf>
    <xf numFmtId="1" fontId="89" fillId="4" borderId="1" xfId="0" applyNumberFormat="1" applyFont="1" applyFill="1" applyBorder="1" applyAlignment="1">
      <alignment horizontal="center" vertical="center"/>
    </xf>
    <xf numFmtId="1" fontId="89" fillId="4" borderId="4" xfId="0" applyNumberFormat="1" applyFont="1" applyFill="1" applyBorder="1" applyAlignment="1">
      <alignment horizontal="center" vertical="center"/>
    </xf>
    <xf numFmtId="1" fontId="89" fillId="4" borderId="11" xfId="0" applyNumberFormat="1" applyFont="1" applyFill="1" applyBorder="1" applyAlignment="1">
      <alignment horizontal="center" vertical="center"/>
    </xf>
    <xf numFmtId="167" fontId="0" fillId="0" borderId="0" xfId="0" applyNumberFormat="1" applyFont="1" applyFill="1" applyBorder="1" applyAlignment="1">
      <alignment vertical="center"/>
    </xf>
    <xf numFmtId="0" fontId="2" fillId="9" borderId="0" xfId="0" applyFont="1" applyFill="1" applyAlignment="1">
      <alignment horizontal="center" vertical="center"/>
    </xf>
    <xf numFmtId="20" fontId="11" fillId="0" borderId="0" xfId="0" applyNumberFormat="1" applyFont="1" applyFill="1" applyBorder="1" applyAlignment="1">
      <alignment horizontal="center" vertical="center"/>
    </xf>
    <xf numFmtId="0" fontId="9"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0" fillId="12" borderId="0" xfId="0" applyFont="1" applyFill="1" applyBorder="1" applyAlignment="1">
      <alignment horizontal="center" vertical="center"/>
    </xf>
    <xf numFmtId="0" fontId="0" fillId="11" borderId="2" xfId="0" applyFont="1" applyFill="1" applyBorder="1" applyAlignment="1">
      <alignment horizontal="center" vertical="center"/>
    </xf>
    <xf numFmtId="0" fontId="17" fillId="4" borderId="15" xfId="0" applyFont="1" applyFill="1" applyBorder="1" applyAlignment="1">
      <alignment vertical="center" wrapText="1"/>
    </xf>
    <xf numFmtId="0" fontId="22" fillId="0" borderId="0" xfId="0" applyFont="1" applyFill="1" applyBorder="1" applyAlignment="1">
      <alignment horizontal="right" vertical="center" indent="1"/>
    </xf>
    <xf numFmtId="0" fontId="48" fillId="4" borderId="15" xfId="0" applyFont="1" applyFill="1" applyBorder="1" applyAlignment="1">
      <alignment horizontal="center" vertical="center"/>
    </xf>
    <xf numFmtId="2" fontId="2" fillId="4" borderId="0" xfId="0" applyNumberFormat="1" applyFont="1" applyFill="1" applyBorder="1" applyAlignment="1">
      <alignment horizontal="center" vertical="top"/>
    </xf>
    <xf numFmtId="0" fontId="87" fillId="16" borderId="0" xfId="0" applyFont="1" applyFill="1" applyBorder="1" applyAlignment="1">
      <alignment horizontal="center" vertical="center"/>
    </xf>
    <xf numFmtId="0" fontId="53" fillId="16" borderId="0" xfId="0" applyFont="1" applyFill="1" applyBorder="1" applyAlignment="1">
      <alignment horizontal="center" vertical="center"/>
    </xf>
    <xf numFmtId="0" fontId="22" fillId="16" borderId="0" xfId="0" applyFont="1" applyFill="1" applyBorder="1" applyAlignment="1">
      <alignment horizontal="center" vertical="center"/>
    </xf>
    <xf numFmtId="0" fontId="2" fillId="16" borderId="0" xfId="0" applyFont="1" applyFill="1" applyBorder="1" applyAlignment="1">
      <alignment horizontal="center" vertical="center"/>
    </xf>
    <xf numFmtId="1" fontId="22" fillId="16" borderId="0" xfId="0" applyNumberFormat="1" applyFont="1" applyFill="1" applyBorder="1" applyAlignment="1">
      <alignment horizontal="center" vertical="center"/>
    </xf>
    <xf numFmtId="0" fontId="21" fillId="16" borderId="0" xfId="0" applyFont="1" applyFill="1" applyBorder="1" applyAlignment="1">
      <alignment horizontal="center" vertical="center"/>
    </xf>
    <xf numFmtId="0" fontId="0" fillId="16" borderId="0" xfId="0" applyFill="1" applyBorder="1" applyAlignment="1">
      <alignment horizontal="center" vertical="center"/>
    </xf>
    <xf numFmtId="0" fontId="34" fillId="16" borderId="0" xfId="0" applyFont="1" applyFill="1" applyBorder="1" applyAlignment="1">
      <alignment horizontal="center" vertical="center"/>
    </xf>
    <xf numFmtId="0" fontId="0" fillId="16" borderId="0" xfId="0" applyFill="1"/>
    <xf numFmtId="2" fontId="2" fillId="26" borderId="2" xfId="0" applyNumberFormat="1" applyFont="1" applyFill="1" applyBorder="1" applyAlignment="1" applyProtection="1">
      <alignment horizontal="center" vertical="center"/>
      <protection locked="0"/>
    </xf>
    <xf numFmtId="0" fontId="41" fillId="4" borderId="0" xfId="0" applyFont="1" applyFill="1" applyBorder="1" applyAlignment="1">
      <alignment horizontal="left" vertical="center" indent="2"/>
    </xf>
    <xf numFmtId="0" fontId="22" fillId="4" borderId="5" xfId="0" applyFont="1" applyFill="1" applyBorder="1" applyAlignment="1">
      <alignment horizontal="left" vertical="center"/>
    </xf>
    <xf numFmtId="0" fontId="22" fillId="4" borderId="4" xfId="0" applyFont="1" applyFill="1" applyBorder="1" applyAlignment="1">
      <alignment horizontal="left" vertical="center"/>
    </xf>
    <xf numFmtId="0" fontId="22" fillId="4" borderId="3" xfId="0" applyFont="1" applyFill="1" applyBorder="1" applyAlignment="1">
      <alignment horizontal="left" vertical="center"/>
    </xf>
    <xf numFmtId="0" fontId="22" fillId="4" borderId="2" xfId="0" applyFont="1" applyFill="1" applyBorder="1" applyAlignment="1">
      <alignment horizontal="center" vertical="center"/>
    </xf>
    <xf numFmtId="49" fontId="22" fillId="4" borderId="0" xfId="0" applyNumberFormat="1" applyFont="1" applyFill="1" applyBorder="1" applyAlignment="1">
      <alignment horizontal="right" vertical="center" indent="1"/>
    </xf>
    <xf numFmtId="49" fontId="22" fillId="4" borderId="2" xfId="0" applyNumberFormat="1" applyFont="1" applyFill="1" applyBorder="1" applyAlignment="1">
      <alignment horizontal="center" vertical="center"/>
    </xf>
    <xf numFmtId="0" fontId="22" fillId="4" borderId="0"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4" xfId="0" applyFont="1" applyFill="1" applyBorder="1" applyAlignment="1">
      <alignment horizontal="center"/>
    </xf>
    <xf numFmtId="0" fontId="22" fillId="4" borderId="9" xfId="0" applyFont="1" applyFill="1" applyBorder="1" applyAlignment="1">
      <alignment horizontal="center"/>
    </xf>
    <xf numFmtId="0" fontId="22" fillId="0" borderId="0" xfId="0" applyFont="1" applyFill="1" applyBorder="1" applyAlignment="1">
      <alignment horizontal="center" vertical="center"/>
    </xf>
    <xf numFmtId="0" fontId="91" fillId="0" borderId="0" xfId="0" applyFont="1" applyFill="1" applyBorder="1" applyAlignment="1">
      <alignment horizontal="center" vertical="center"/>
    </xf>
    <xf numFmtId="0" fontId="23" fillId="4" borderId="0" xfId="0" applyFont="1" applyFill="1" applyBorder="1" applyAlignment="1">
      <alignment horizontal="left" vertical="center"/>
    </xf>
    <xf numFmtId="0" fontId="11" fillId="0" borderId="1" xfId="0" applyFont="1" applyFill="1" applyBorder="1" applyAlignment="1">
      <alignment horizontal="center" vertical="center"/>
    </xf>
    <xf numFmtId="0" fontId="0" fillId="0" borderId="19" xfId="0" applyFont="1" applyFill="1" applyBorder="1" applyAlignment="1">
      <alignment horizontal="center" vertical="center"/>
    </xf>
    <xf numFmtId="0" fontId="9" fillId="0" borderId="20"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0" fillId="0" borderId="32" xfId="0" applyFont="1" applyFill="1" applyBorder="1" applyAlignment="1">
      <alignment horizontal="center" vertical="center"/>
    </xf>
    <xf numFmtId="0" fontId="11" fillId="0" borderId="33" xfId="0" applyFont="1" applyFill="1" applyBorder="1" applyAlignment="1">
      <alignment horizontal="center" vertical="center"/>
    </xf>
    <xf numFmtId="0" fontId="8" fillId="15" borderId="34" xfId="0" applyNumberFormat="1" applyFont="1" applyFill="1" applyBorder="1" applyAlignment="1">
      <alignment horizontal="center" vertical="center"/>
    </xf>
    <xf numFmtId="0" fontId="9" fillId="0" borderId="25" xfId="0" applyFont="1" applyFill="1" applyBorder="1" applyAlignment="1">
      <alignment horizontal="center" vertical="center"/>
    </xf>
    <xf numFmtId="0" fontId="11" fillId="0" borderId="25" xfId="0" applyFont="1" applyFill="1" applyBorder="1" applyAlignment="1">
      <alignment horizontal="center" vertical="center"/>
    </xf>
    <xf numFmtId="0" fontId="11" fillId="0" borderId="35" xfId="0" applyFont="1" applyFill="1" applyBorder="1" applyAlignment="1">
      <alignment horizontal="center" vertical="center"/>
    </xf>
    <xf numFmtId="0" fontId="0" fillId="0" borderId="25" xfId="0" applyFont="1" applyFill="1" applyBorder="1" applyAlignment="1">
      <alignment horizontal="center" vertical="center"/>
    </xf>
    <xf numFmtId="0" fontId="11" fillId="0" borderId="36" xfId="0" applyFont="1" applyFill="1" applyBorder="1" applyAlignment="1">
      <alignment horizontal="center" vertical="center"/>
    </xf>
    <xf numFmtId="0" fontId="40" fillId="4" borderId="0" xfId="0" applyFont="1" applyFill="1" applyBorder="1" applyAlignment="1">
      <alignment vertical="top" wrapText="1"/>
    </xf>
    <xf numFmtId="49" fontId="22" fillId="4" borderId="0" xfId="0" applyNumberFormat="1" applyFont="1" applyFill="1" applyBorder="1" applyAlignment="1">
      <alignment vertical="center"/>
    </xf>
    <xf numFmtId="2" fontId="22" fillId="4" borderId="3" xfId="0" applyNumberFormat="1" applyFont="1" applyFill="1" applyBorder="1" applyAlignment="1">
      <alignment vertical="center"/>
    </xf>
    <xf numFmtId="0" fontId="21" fillId="27" borderId="0" xfId="0" applyFont="1" applyFill="1" applyBorder="1" applyAlignment="1">
      <alignment horizontal="right" vertical="center"/>
    </xf>
    <xf numFmtId="0" fontId="34" fillId="4" borderId="4" xfId="0" applyFont="1" applyFill="1" applyBorder="1"/>
    <xf numFmtId="0" fontId="22" fillId="4" borderId="0" xfId="0" applyFont="1" applyFill="1" applyBorder="1" applyAlignment="1">
      <alignment vertical="top" wrapText="1"/>
    </xf>
    <xf numFmtId="0" fontId="0" fillId="18" borderId="0" xfId="0" applyFill="1" applyBorder="1" applyAlignment="1">
      <alignment horizontal="center" vertical="center"/>
    </xf>
    <xf numFmtId="0" fontId="3" fillId="5" borderId="0" xfId="0" applyFont="1" applyFill="1" applyBorder="1" applyAlignment="1">
      <alignment horizontal="center" vertical="center"/>
    </xf>
    <xf numFmtId="0" fontId="22" fillId="5" borderId="0" xfId="0" applyFont="1" applyFill="1" applyBorder="1" applyAlignment="1">
      <alignment horizontal="center" vertical="center"/>
    </xf>
    <xf numFmtId="0" fontId="34" fillId="5" borderId="0" xfId="0" applyFont="1" applyFill="1" applyBorder="1" applyAlignment="1">
      <alignment horizontal="center" vertical="center"/>
    </xf>
    <xf numFmtId="0" fontId="23" fillId="5" borderId="0" xfId="0" applyFont="1" applyFill="1" applyBorder="1" applyAlignment="1">
      <alignment horizontal="center" vertical="center"/>
    </xf>
    <xf numFmtId="49" fontId="22" fillId="5" borderId="0" xfId="0" applyNumberFormat="1" applyFont="1" applyFill="1" applyBorder="1" applyAlignment="1">
      <alignment horizontal="center" vertical="center"/>
    </xf>
    <xf numFmtId="0" fontId="17" fillId="5" borderId="0" xfId="0" applyNumberFormat="1" applyFont="1" applyFill="1" applyBorder="1" applyAlignment="1">
      <alignment horizontal="center" vertical="center"/>
    </xf>
    <xf numFmtId="0" fontId="58" fillId="5" borderId="0" xfId="0" applyFont="1" applyFill="1" applyBorder="1" applyAlignment="1">
      <alignment horizontal="center" vertical="center"/>
    </xf>
    <xf numFmtId="0" fontId="17" fillId="5" borderId="0" xfId="0" applyFont="1" applyFill="1" applyBorder="1" applyAlignment="1">
      <alignment horizontal="center" vertical="center"/>
    </xf>
    <xf numFmtId="0" fontId="0" fillId="5" borderId="0" xfId="0" applyFont="1" applyFill="1" applyBorder="1" applyAlignment="1">
      <alignment horizontal="center" vertical="center"/>
    </xf>
    <xf numFmtId="1" fontId="22" fillId="5" borderId="0" xfId="0" applyNumberFormat="1" applyFont="1" applyFill="1" applyBorder="1" applyAlignment="1">
      <alignment horizontal="center" vertical="center"/>
    </xf>
    <xf numFmtId="1" fontId="0" fillId="0" borderId="0" xfId="0" applyNumberFormat="1" applyFont="1" applyFill="1" applyBorder="1" applyAlignment="1">
      <alignment vertical="center"/>
    </xf>
    <xf numFmtId="0" fontId="42" fillId="4" borderId="0" xfId="0" applyFont="1" applyFill="1" applyBorder="1" applyAlignment="1">
      <alignment horizontal="right" vertical="center" wrapText="1" indent="1"/>
    </xf>
    <xf numFmtId="0" fontId="41" fillId="4" borderId="0" xfId="0" applyFont="1" applyFill="1" applyBorder="1" applyAlignment="1">
      <alignment horizontal="center" vertical="center" wrapText="1"/>
    </xf>
    <xf numFmtId="0" fontId="41" fillId="4" borderId="0" xfId="0" applyFont="1" applyFill="1" applyBorder="1" applyAlignment="1">
      <alignment horizontal="left" vertical="center" wrapText="1"/>
    </xf>
    <xf numFmtId="0" fontId="41" fillId="4" borderId="0" xfId="0" applyFont="1" applyFill="1" applyBorder="1" applyAlignment="1">
      <alignment horizontal="right" vertical="center" wrapText="1" indent="1"/>
    </xf>
    <xf numFmtId="0" fontId="92" fillId="40" borderId="2" xfId="1" applyFont="1" applyFill="1" applyBorder="1" applyAlignment="1" applyProtection="1">
      <alignment vertical="center" wrapText="1"/>
    </xf>
    <xf numFmtId="0" fontId="41" fillId="4" borderId="0" xfId="0" applyFont="1" applyFill="1" applyBorder="1" applyAlignment="1">
      <alignment horizontal="left" vertical="top" wrapText="1" indent="1"/>
    </xf>
    <xf numFmtId="0" fontId="41" fillId="4" borderId="0" xfId="0" applyFont="1" applyFill="1" applyBorder="1" applyAlignment="1">
      <alignment vertical="top" wrapText="1"/>
    </xf>
    <xf numFmtId="0" fontId="41" fillId="4" borderId="0" xfId="0" applyFont="1" applyFill="1" applyBorder="1" applyAlignment="1">
      <alignment horizontal="left" vertical="top" wrapText="1"/>
    </xf>
    <xf numFmtId="0" fontId="8" fillId="4" borderId="6" xfId="0" applyFont="1" applyFill="1" applyBorder="1" applyAlignment="1">
      <alignment vertical="center"/>
    </xf>
    <xf numFmtId="0" fontId="8" fillId="4" borderId="9" xfId="0" applyFont="1" applyFill="1" applyBorder="1" applyAlignment="1">
      <alignment vertical="center"/>
    </xf>
    <xf numFmtId="1" fontId="0" fillId="4" borderId="11" xfId="0" applyNumberFormat="1" applyFont="1" applyFill="1" applyBorder="1" applyAlignment="1">
      <alignment horizontal="center" vertical="center"/>
    </xf>
    <xf numFmtId="0" fontId="7" fillId="4" borderId="11" xfId="0" applyFont="1" applyFill="1" applyBorder="1" applyAlignment="1">
      <alignment horizontal="right" vertical="center"/>
    </xf>
    <xf numFmtId="0" fontId="8" fillId="4" borderId="13" xfId="0" applyFont="1" applyFill="1" applyBorder="1" applyAlignment="1">
      <alignment vertical="center"/>
    </xf>
    <xf numFmtId="0" fontId="0" fillId="0" borderId="0" xfId="0" applyAlignment="1"/>
    <xf numFmtId="0" fontId="9" fillId="5" borderId="9" xfId="0" applyFont="1" applyFill="1" applyBorder="1" applyAlignment="1">
      <alignment vertical="center"/>
    </xf>
    <xf numFmtId="0" fontId="9" fillId="0" borderId="9" xfId="0" applyFont="1" applyBorder="1" applyAlignment="1">
      <alignment vertical="center"/>
    </xf>
    <xf numFmtId="0" fontId="0" fillId="5" borderId="9" xfId="0" applyFont="1" applyFill="1" applyBorder="1" applyAlignment="1">
      <alignment vertical="center"/>
    </xf>
    <xf numFmtId="0" fontId="0" fillId="5" borderId="13" xfId="0" applyFont="1" applyFill="1" applyBorder="1" applyAlignment="1">
      <alignment vertical="center"/>
    </xf>
    <xf numFmtId="0" fontId="0" fillId="0" borderId="9" xfId="0" applyBorder="1" applyAlignment="1"/>
    <xf numFmtId="0" fontId="8" fillId="4" borderId="0" xfId="0" applyFont="1" applyFill="1" applyAlignment="1">
      <alignment vertical="center"/>
    </xf>
    <xf numFmtId="0" fontId="0" fillId="0" borderId="6" xfId="0" applyBorder="1" applyAlignment="1"/>
    <xf numFmtId="0" fontId="0" fillId="0" borderId="0" xfId="0" applyBorder="1" applyAlignment="1"/>
    <xf numFmtId="2" fontId="0" fillId="0" borderId="0" xfId="0" applyNumberFormat="1" applyAlignment="1">
      <alignment horizontal="center" vertical="center"/>
    </xf>
    <xf numFmtId="2" fontId="2" fillId="26" borderId="2" xfId="0" applyNumberFormat="1" applyFont="1" applyFill="1" applyBorder="1" applyAlignment="1" applyProtection="1">
      <alignment horizontal="center" vertical="center"/>
      <protection locked="0"/>
    </xf>
    <xf numFmtId="49" fontId="2" fillId="4" borderId="11" xfId="0" applyNumberFormat="1" applyFont="1" applyFill="1" applyBorder="1" applyAlignment="1">
      <alignment horizontal="center" vertical="center"/>
    </xf>
    <xf numFmtId="0" fontId="22" fillId="4" borderId="5" xfId="0" applyFont="1" applyFill="1" applyBorder="1" applyAlignment="1">
      <alignment horizontal="left" vertical="center"/>
    </xf>
    <xf numFmtId="0" fontId="22" fillId="4" borderId="4" xfId="0" applyFont="1" applyFill="1" applyBorder="1" applyAlignment="1">
      <alignment horizontal="left" vertical="center"/>
    </xf>
    <xf numFmtId="0" fontId="22" fillId="4" borderId="3" xfId="0" applyFont="1" applyFill="1" applyBorder="1" applyAlignment="1">
      <alignment horizontal="left" vertical="center"/>
    </xf>
    <xf numFmtId="0" fontId="22" fillId="4" borderId="2" xfId="0" applyFont="1" applyFill="1" applyBorder="1" applyAlignment="1">
      <alignment horizontal="center" vertical="center"/>
    </xf>
    <xf numFmtId="2" fontId="71" fillId="4" borderId="2" xfId="0" applyNumberFormat="1" applyFont="1" applyFill="1" applyBorder="1" applyAlignment="1">
      <alignment horizontal="center" vertical="center"/>
    </xf>
    <xf numFmtId="49" fontId="22" fillId="4" borderId="2" xfId="0" applyNumberFormat="1" applyFont="1" applyFill="1" applyBorder="1" applyAlignment="1">
      <alignment horizontal="center" vertical="center"/>
    </xf>
    <xf numFmtId="0" fontId="22" fillId="4" borderId="4" xfId="0" applyFont="1" applyFill="1" applyBorder="1" applyAlignment="1">
      <alignment horizontal="center"/>
    </xf>
    <xf numFmtId="0" fontId="22" fillId="4" borderId="9" xfId="0" applyFont="1" applyFill="1" applyBorder="1" applyAlignment="1">
      <alignment horizontal="center"/>
    </xf>
    <xf numFmtId="0" fontId="22" fillId="4" borderId="0" xfId="0" applyFont="1" applyFill="1" applyBorder="1" applyAlignment="1">
      <alignment horizontal="center" vertical="center"/>
    </xf>
    <xf numFmtId="0" fontId="22" fillId="4" borderId="15" xfId="0" applyFont="1" applyFill="1" applyBorder="1" applyAlignment="1">
      <alignment horizontal="center" vertical="center"/>
    </xf>
    <xf numFmtId="0" fontId="0" fillId="4" borderId="9" xfId="0" applyFont="1" applyFill="1" applyBorder="1" applyAlignment="1">
      <alignment horizontal="center" vertical="center"/>
    </xf>
    <xf numFmtId="0" fontId="41" fillId="4" borderId="0" xfId="0" applyFont="1" applyFill="1" applyBorder="1" applyAlignment="1">
      <alignment horizontal="left" vertical="center" wrapText="1"/>
    </xf>
    <xf numFmtId="2" fontId="22" fillId="0" borderId="0" xfId="0" applyNumberFormat="1" applyFont="1" applyFill="1" applyBorder="1" applyAlignment="1">
      <alignment horizontal="center" vertical="center"/>
    </xf>
    <xf numFmtId="0" fontId="2" fillId="3" borderId="13" xfId="0" applyFont="1" applyFill="1" applyBorder="1" applyAlignment="1">
      <alignment horizontal="center"/>
    </xf>
    <xf numFmtId="0" fontId="2" fillId="3" borderId="14" xfId="0" applyFont="1" applyFill="1" applyBorder="1" applyAlignment="1">
      <alignment horizontal="center"/>
    </xf>
    <xf numFmtId="0" fontId="0" fillId="20" borderId="9" xfId="0" applyFont="1" applyFill="1" applyBorder="1" applyAlignment="1">
      <alignment vertical="center"/>
    </xf>
    <xf numFmtId="0" fontId="0" fillId="20" borderId="4" xfId="0" applyFont="1" applyFill="1" applyBorder="1" applyAlignment="1">
      <alignment vertical="center"/>
    </xf>
    <xf numFmtId="0" fontId="0" fillId="20" borderId="13" xfId="0" applyFont="1" applyFill="1" applyBorder="1" applyAlignment="1">
      <alignment vertical="center"/>
    </xf>
    <xf numFmtId="0" fontId="0" fillId="20" borderId="6" xfId="0" applyFont="1" applyFill="1" applyBorder="1" applyAlignment="1">
      <alignment vertical="center"/>
    </xf>
    <xf numFmtId="0" fontId="0" fillId="20" borderId="9" xfId="0" applyFill="1" applyBorder="1" applyAlignment="1">
      <alignment vertical="center"/>
    </xf>
    <xf numFmtId="0" fontId="9" fillId="20" borderId="9" xfId="0" applyFont="1" applyFill="1" applyBorder="1" applyAlignment="1">
      <alignment vertical="center"/>
    </xf>
    <xf numFmtId="0" fontId="0" fillId="20" borderId="10" xfId="0" applyFont="1" applyFill="1" applyBorder="1" applyAlignment="1">
      <alignment vertical="center"/>
    </xf>
    <xf numFmtId="0" fontId="0" fillId="20" borderId="0" xfId="0" applyFont="1" applyFill="1" applyBorder="1" applyAlignment="1">
      <alignment vertical="center"/>
    </xf>
    <xf numFmtId="0" fontId="0" fillId="20" borderId="0" xfId="0" applyFont="1" applyFill="1" applyAlignment="1">
      <alignment vertical="center"/>
    </xf>
    <xf numFmtId="0" fontId="9" fillId="20" borderId="0" xfId="0" applyFont="1" applyFill="1" applyAlignment="1">
      <alignment vertical="center"/>
    </xf>
    <xf numFmtId="2" fontId="2" fillId="0" borderId="0" xfId="0" applyNumberFormat="1" applyFont="1" applyFill="1" applyBorder="1" applyAlignment="1">
      <alignment horizontal="right" vertical="center" indent="1"/>
    </xf>
    <xf numFmtId="1" fontId="1" fillId="6" borderId="5" xfId="0" applyNumberFormat="1" applyFont="1" applyFill="1" applyBorder="1" applyAlignment="1">
      <alignment horizontal="center" vertical="center"/>
    </xf>
    <xf numFmtId="2" fontId="94" fillId="40" borderId="12" xfId="1" applyNumberFormat="1" applyFont="1" applyFill="1" applyBorder="1" applyAlignment="1" applyProtection="1">
      <alignment horizontal="left" vertical="center" indent="1"/>
    </xf>
    <xf numFmtId="2" fontId="2" fillId="5" borderId="12" xfId="0" applyNumberFormat="1" applyFont="1" applyFill="1" applyBorder="1" applyAlignment="1">
      <alignment horizontal="right" vertical="center" indent="1"/>
    </xf>
    <xf numFmtId="0" fontId="6" fillId="4" borderId="1" xfId="0" applyFont="1" applyFill="1" applyBorder="1" applyAlignment="1">
      <alignment horizontal="center" vertical="center" textRotation="90"/>
    </xf>
    <xf numFmtId="0" fontId="2" fillId="4" borderId="1" xfId="0" applyFont="1" applyFill="1" applyBorder="1" applyAlignment="1">
      <alignment horizontal="left"/>
    </xf>
    <xf numFmtId="0" fontId="2" fillId="4" borderId="1" xfId="0" applyFont="1" applyFill="1" applyBorder="1" applyAlignment="1">
      <alignment horizontal="left" wrapText="1"/>
    </xf>
    <xf numFmtId="2" fontId="2" fillId="0" borderId="12" xfId="0" applyNumberFormat="1" applyFont="1" applyFill="1" applyBorder="1" applyAlignment="1">
      <alignment horizontal="center" vertical="center" wrapText="1"/>
    </xf>
    <xf numFmtId="1" fontId="0" fillId="0" borderId="11" xfId="0" applyNumberFormat="1" applyFont="1" applyBorder="1" applyAlignment="1">
      <alignment horizontal="center" vertical="center"/>
    </xf>
    <xf numFmtId="0" fontId="0" fillId="5" borderId="2" xfId="0" applyFont="1" applyFill="1" applyBorder="1"/>
    <xf numFmtId="0" fontId="0" fillId="5" borderId="4" xfId="0" applyFont="1" applyFill="1" applyBorder="1"/>
    <xf numFmtId="2" fontId="2" fillId="5" borderId="3" xfId="0" applyNumberFormat="1" applyFont="1" applyFill="1" applyBorder="1" applyAlignment="1">
      <alignment horizontal="right" vertical="center" indent="1"/>
    </xf>
    <xf numFmtId="0" fontId="14" fillId="4" borderId="0" xfId="0" applyFont="1" applyFill="1" applyAlignment="1">
      <alignment horizontal="center"/>
    </xf>
    <xf numFmtId="0" fontId="14" fillId="4" borderId="0" xfId="0" applyFont="1" applyFill="1"/>
    <xf numFmtId="0" fontId="0" fillId="4" borderId="0" xfId="0" applyFont="1" applyFill="1"/>
    <xf numFmtId="0" fontId="0" fillId="4" borderId="0" xfId="0" applyFont="1" applyFill="1" applyAlignment="1">
      <alignment horizontal="center"/>
    </xf>
    <xf numFmtId="0" fontId="13" fillId="4" borderId="0" xfId="0" applyFont="1" applyFill="1" applyBorder="1" applyAlignment="1">
      <alignment horizontal="center"/>
    </xf>
    <xf numFmtId="0" fontId="15" fillId="4" borderId="0" xfId="0" applyFont="1" applyFill="1" applyBorder="1" applyAlignment="1">
      <alignment horizontal="center"/>
    </xf>
    <xf numFmtId="0" fontId="11" fillId="4" borderId="0" xfId="0" applyFont="1" applyFill="1" applyBorder="1" applyAlignment="1">
      <alignment horizontal="center" vertical="center"/>
    </xf>
    <xf numFmtId="0" fontId="23" fillId="4" borderId="0" xfId="0" applyFont="1" applyFill="1" applyBorder="1" applyAlignment="1">
      <alignment horizontal="left" vertical="center" indent="1"/>
    </xf>
    <xf numFmtId="0" fontId="9" fillId="4" borderId="0" xfId="0" applyFont="1" applyFill="1" applyBorder="1"/>
    <xf numFmtId="0" fontId="22" fillId="4" borderId="0" xfId="0" applyFont="1" applyFill="1" applyBorder="1" applyAlignment="1">
      <alignment horizontal="center" vertical="top"/>
    </xf>
    <xf numFmtId="0" fontId="11" fillId="4" borderId="0" xfId="0" applyFont="1" applyFill="1" applyAlignment="1">
      <alignment horizontal="center" vertical="center"/>
    </xf>
    <xf numFmtId="0" fontId="16" fillId="4" borderId="0" xfId="0" applyFont="1" applyFill="1" applyBorder="1" applyAlignment="1">
      <alignment horizontal="center" vertical="center"/>
    </xf>
    <xf numFmtId="0" fontId="16" fillId="4" borderId="0" xfId="0" applyFont="1" applyFill="1" applyBorder="1" applyAlignment="1">
      <alignment horizontal="center"/>
    </xf>
    <xf numFmtId="0" fontId="13" fillId="4" borderId="10" xfId="0" applyFont="1" applyFill="1" applyBorder="1" applyAlignment="1">
      <alignment horizontal="center" vertical="center"/>
    </xf>
    <xf numFmtId="0" fontId="14" fillId="4" borderId="10" xfId="0" applyFont="1" applyFill="1" applyBorder="1"/>
    <xf numFmtId="0" fontId="0" fillId="4" borderId="10" xfId="0" applyFont="1" applyFill="1" applyBorder="1"/>
    <xf numFmtId="0" fontId="0" fillId="4" borderId="10" xfId="0" applyFont="1" applyFill="1" applyBorder="1" applyAlignment="1">
      <alignment horizontal="center"/>
    </xf>
    <xf numFmtId="0" fontId="22" fillId="4" borderId="12" xfId="0" applyFont="1" applyFill="1" applyBorder="1" applyAlignment="1">
      <alignment horizontal="center" vertical="center"/>
    </xf>
    <xf numFmtId="2" fontId="0" fillId="2" borderId="0" xfId="0" applyNumberFormat="1" applyFont="1" applyFill="1" applyAlignment="1">
      <alignment horizontal="center" vertical="center"/>
    </xf>
    <xf numFmtId="0" fontId="0" fillId="35" borderId="0" xfId="0" applyFont="1" applyFill="1" applyBorder="1" applyAlignment="1">
      <alignment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18" borderId="12" xfId="0" applyFont="1" applyFill="1" applyBorder="1" applyAlignment="1">
      <alignment horizontal="center" vertical="center"/>
    </xf>
    <xf numFmtId="0" fontId="2" fillId="18" borderId="11" xfId="0" applyFont="1" applyFill="1" applyBorder="1" applyAlignment="1">
      <alignment horizontal="center" vertical="center" wrapText="1"/>
    </xf>
    <xf numFmtId="2" fontId="0" fillId="0" borderId="0" xfId="0" applyNumberFormat="1" applyFont="1"/>
    <xf numFmtId="0" fontId="0" fillId="0" borderId="0" xfId="0" applyBorder="1" applyAlignment="1">
      <alignment horizontal="right"/>
    </xf>
    <xf numFmtId="0" fontId="10" fillId="4" borderId="0" xfId="1" applyFill="1" applyBorder="1" applyAlignment="1" applyProtection="1">
      <alignment horizontal="left" vertical="center"/>
    </xf>
    <xf numFmtId="0" fontId="0" fillId="4" borderId="12" xfId="0" applyFill="1" applyBorder="1" applyAlignment="1">
      <alignment horizontal="left" vertical="center" wrapText="1"/>
    </xf>
    <xf numFmtId="0" fontId="0" fillId="26" borderId="0" xfId="0" applyFill="1" applyBorder="1" applyAlignment="1">
      <alignment horizontal="center" vertical="center"/>
    </xf>
    <xf numFmtId="0" fontId="23" fillId="26" borderId="0" xfId="0" applyFont="1" applyFill="1" applyBorder="1" applyAlignment="1">
      <alignment horizontal="left" vertical="center"/>
    </xf>
    <xf numFmtId="0" fontId="0" fillId="5" borderId="5" xfId="0" applyFont="1" applyFill="1" applyBorder="1"/>
    <xf numFmtId="0" fontId="0" fillId="5" borderId="4" xfId="0" applyFont="1" applyFill="1" applyBorder="1" applyAlignment="1">
      <alignment horizontal="center" vertical="center"/>
    </xf>
    <xf numFmtId="0" fontId="0" fillId="5" borderId="4" xfId="0" applyFill="1" applyBorder="1" applyAlignment="1">
      <alignment vertical="center"/>
    </xf>
    <xf numFmtId="0" fontId="14" fillId="5" borderId="4" xfId="0" applyFont="1" applyFill="1" applyBorder="1" applyAlignment="1">
      <alignment horizontal="center"/>
    </xf>
    <xf numFmtId="0" fontId="14" fillId="5" borderId="4" xfId="0" applyFont="1" applyFill="1" applyBorder="1"/>
    <xf numFmtId="1" fontId="0" fillId="5" borderId="4" xfId="0" applyNumberFormat="1" applyFont="1" applyFill="1" applyBorder="1" applyAlignment="1">
      <alignment horizontal="center" vertical="center"/>
    </xf>
    <xf numFmtId="0" fontId="0" fillId="5" borderId="4" xfId="0" applyFont="1" applyFill="1" applyBorder="1" applyAlignment="1">
      <alignment horizontal="center"/>
    </xf>
    <xf numFmtId="0" fontId="14" fillId="4" borderId="0" xfId="0" applyFont="1" applyFill="1" applyBorder="1"/>
    <xf numFmtId="0" fontId="0" fillId="4" borderId="0" xfId="0" applyFont="1" applyFill="1" applyBorder="1" applyAlignment="1">
      <alignment horizontal="center"/>
    </xf>
    <xf numFmtId="0" fontId="13" fillId="4" borderId="6" xfId="0" applyFont="1" applyFill="1" applyBorder="1" applyAlignment="1">
      <alignment horizontal="center" vertical="center"/>
    </xf>
    <xf numFmtId="0" fontId="13" fillId="4" borderId="7" xfId="0" applyFont="1" applyFill="1" applyBorder="1" applyAlignment="1">
      <alignment horizontal="center" vertical="center"/>
    </xf>
    <xf numFmtId="0" fontId="14" fillId="4" borderId="7" xfId="0" applyFont="1" applyFill="1" applyBorder="1"/>
    <xf numFmtId="0" fontId="0" fillId="4" borderId="7" xfId="0" applyFont="1" applyFill="1" applyBorder="1"/>
    <xf numFmtId="0" fontId="0" fillId="4" borderId="7" xfId="0" applyFont="1" applyFill="1" applyBorder="1" applyAlignment="1">
      <alignment horizontal="center" vertical="center"/>
    </xf>
    <xf numFmtId="1" fontId="0" fillId="4" borderId="7" xfId="0" applyNumberFormat="1" applyFont="1" applyFill="1" applyBorder="1" applyAlignment="1">
      <alignment horizontal="center" vertical="center"/>
    </xf>
    <xf numFmtId="0" fontId="0" fillId="4" borderId="7" xfId="0" applyFont="1" applyFill="1" applyBorder="1" applyAlignment="1">
      <alignment horizontal="center"/>
    </xf>
    <xf numFmtId="0" fontId="11" fillId="4" borderId="7" xfId="0" applyFont="1" applyFill="1" applyBorder="1" applyAlignment="1">
      <alignment horizontal="center" vertical="center"/>
    </xf>
    <xf numFmtId="0" fontId="22" fillId="4" borderId="7" xfId="0" applyFont="1" applyFill="1" applyBorder="1" applyAlignment="1">
      <alignment horizontal="center" vertical="top"/>
    </xf>
    <xf numFmtId="2" fontId="2" fillId="4" borderId="8" xfId="0" applyNumberFormat="1" applyFont="1" applyFill="1" applyBorder="1" applyAlignment="1">
      <alignment horizontal="right" vertical="center" indent="1"/>
    </xf>
    <xf numFmtId="0" fontId="14" fillId="4" borderId="9" xfId="0" applyFont="1" applyFill="1" applyBorder="1"/>
    <xf numFmtId="0" fontId="14" fillId="4" borderId="0" xfId="0" applyFont="1" applyFill="1" applyBorder="1" applyAlignment="1">
      <alignment horizontal="center"/>
    </xf>
    <xf numFmtId="1" fontId="0" fillId="4" borderId="0" xfId="0" applyNumberFormat="1" applyFont="1" applyFill="1" applyBorder="1" applyAlignment="1">
      <alignment horizontal="center" vertical="center"/>
    </xf>
    <xf numFmtId="2" fontId="2" fillId="4" borderId="15" xfId="0" applyNumberFormat="1" applyFont="1" applyFill="1" applyBorder="1" applyAlignment="1">
      <alignment horizontal="right" vertical="center" indent="1"/>
    </xf>
    <xf numFmtId="0" fontId="13" fillId="4" borderId="9" xfId="0" applyFont="1" applyFill="1" applyBorder="1" applyAlignment="1">
      <alignment horizontal="center" vertical="center"/>
    </xf>
    <xf numFmtId="2" fontId="11" fillId="4" borderId="15" xfId="0" applyNumberFormat="1" applyFont="1" applyFill="1" applyBorder="1" applyAlignment="1">
      <alignment horizontal="right" vertical="center" indent="1"/>
    </xf>
    <xf numFmtId="0" fontId="13" fillId="4" borderId="13" xfId="0" applyFont="1" applyFill="1" applyBorder="1" applyAlignment="1">
      <alignment horizontal="center" vertical="center"/>
    </xf>
    <xf numFmtId="0" fontId="14" fillId="4" borderId="10" xfId="0" applyFont="1" applyFill="1" applyBorder="1" applyAlignment="1">
      <alignment horizontal="center"/>
    </xf>
    <xf numFmtId="1" fontId="0" fillId="4" borderId="10" xfId="0" applyNumberFormat="1" applyFont="1" applyFill="1" applyBorder="1" applyAlignment="1">
      <alignment horizontal="center" vertical="center"/>
    </xf>
    <xf numFmtId="2" fontId="2" fillId="4" borderId="14" xfId="0" applyNumberFormat="1" applyFont="1" applyFill="1" applyBorder="1" applyAlignment="1">
      <alignment horizontal="right" vertical="center" indent="1"/>
    </xf>
    <xf numFmtId="0" fontId="2" fillId="4" borderId="1" xfId="0" applyFont="1" applyFill="1" applyBorder="1" applyAlignment="1">
      <alignment horizontal="center" vertical="center" wrapText="1"/>
    </xf>
    <xf numFmtId="0" fontId="89" fillId="0" borderId="0" xfId="0" applyNumberFormat="1" applyFont="1" applyFill="1" applyBorder="1" applyAlignment="1">
      <alignment horizontal="center" vertical="center"/>
    </xf>
    <xf numFmtId="2" fontId="71" fillId="0" borderId="0" xfId="0" applyNumberFormat="1" applyFont="1" applyFill="1" applyBorder="1" applyAlignment="1">
      <alignment horizontal="center" vertical="center"/>
    </xf>
    <xf numFmtId="1" fontId="89" fillId="0" borderId="0" xfId="0" applyNumberFormat="1" applyFont="1" applyFill="1" applyBorder="1" applyAlignment="1">
      <alignment horizontal="center" vertical="center"/>
    </xf>
    <xf numFmtId="0" fontId="34" fillId="0" borderId="0" xfId="0" applyFont="1" applyFill="1" applyBorder="1"/>
    <xf numFmtId="49" fontId="22" fillId="0" borderId="0" xfId="0" applyNumberFormat="1" applyFont="1" applyFill="1" applyBorder="1" applyAlignment="1">
      <alignment horizontal="left" vertical="center"/>
    </xf>
    <xf numFmtId="0" fontId="72" fillId="0" borderId="0" xfId="0" applyFont="1" applyFill="1" applyBorder="1" applyAlignment="1">
      <alignment horizontal="left" vertical="center"/>
    </xf>
    <xf numFmtId="0" fontId="95" fillId="0" borderId="0" xfId="0" applyFont="1" applyFill="1" applyBorder="1"/>
    <xf numFmtId="0" fontId="23" fillId="0" borderId="0" xfId="0" applyFont="1" applyFill="1" applyBorder="1" applyAlignment="1">
      <alignment vertical="center"/>
    </xf>
    <xf numFmtId="0" fontId="22" fillId="4" borderId="1" xfId="0" applyFont="1" applyFill="1" applyBorder="1" applyAlignment="1">
      <alignment vertical="center"/>
    </xf>
    <xf numFmtId="0" fontId="23" fillId="4" borderId="12" xfId="0" applyFont="1" applyFill="1" applyBorder="1" applyAlignment="1">
      <alignment horizontal="left" vertical="center" indent="1"/>
    </xf>
    <xf numFmtId="0" fontId="22" fillId="4" borderId="12" xfId="0" applyFont="1" applyFill="1" applyBorder="1" applyAlignment="1">
      <alignment horizontal="center" vertical="top"/>
    </xf>
    <xf numFmtId="0" fontId="22" fillId="4" borderId="11" xfId="0" applyFont="1" applyFill="1" applyBorder="1" applyAlignment="1">
      <alignment horizontal="center" vertical="top"/>
    </xf>
    <xf numFmtId="1" fontId="0" fillId="4" borderId="1" xfId="0" applyNumberFormat="1" applyFill="1" applyBorder="1" applyAlignment="1">
      <alignment horizontal="center" vertical="center"/>
    </xf>
    <xf numFmtId="1" fontId="0" fillId="4" borderId="12" xfId="0" applyNumberFormat="1" applyFill="1" applyBorder="1" applyAlignment="1">
      <alignment horizontal="center" vertical="center"/>
    </xf>
    <xf numFmtId="1" fontId="0" fillId="4" borderId="11" xfId="0" applyNumberFormat="1" applyFill="1" applyBorder="1" applyAlignment="1">
      <alignment horizontal="center" vertical="center"/>
    </xf>
    <xf numFmtId="2" fontId="72" fillId="16" borderId="2" xfId="0" applyNumberFormat="1" applyFont="1" applyFill="1" applyBorder="1" applyAlignment="1">
      <alignment horizontal="center" vertical="center"/>
    </xf>
    <xf numFmtId="0" fontId="2" fillId="3" borderId="11" xfId="0" applyFont="1" applyFill="1" applyBorder="1" applyAlignment="1">
      <alignment horizontal="center" vertical="center"/>
    </xf>
    <xf numFmtId="14" fontId="2" fillId="3" borderId="11" xfId="0" applyNumberFormat="1" applyFont="1" applyFill="1" applyBorder="1" applyAlignment="1">
      <alignment horizontal="center" vertical="center"/>
    </xf>
    <xf numFmtId="0" fontId="2" fillId="3" borderId="11" xfId="0" applyFont="1" applyFill="1" applyBorder="1" applyAlignment="1">
      <alignment horizontal="center"/>
    </xf>
    <xf numFmtId="0" fontId="0" fillId="3" borderId="10" xfId="0" applyFont="1" applyFill="1" applyBorder="1" applyAlignment="1">
      <alignment horizontal="center"/>
    </xf>
    <xf numFmtId="0" fontId="2" fillId="3" borderId="14" xfId="0" applyFont="1" applyFill="1" applyBorder="1" applyAlignment="1">
      <alignment vertical="center"/>
    </xf>
    <xf numFmtId="2" fontId="2" fillId="0" borderId="12" xfId="0" applyNumberFormat="1" applyFont="1" applyFill="1" applyBorder="1" applyAlignment="1">
      <alignment horizontal="center" vertical="center"/>
    </xf>
    <xf numFmtId="2" fontId="2" fillId="41" borderId="11" xfId="0" applyNumberFormat="1" applyFont="1" applyFill="1" applyBorder="1" applyAlignment="1">
      <alignment horizontal="right" vertical="center" indent="1"/>
    </xf>
    <xf numFmtId="2" fontId="2" fillId="41" borderId="2" xfId="0" applyNumberFormat="1" applyFont="1" applyFill="1" applyBorder="1" applyAlignment="1">
      <alignment horizontal="right" vertical="center" indent="1"/>
    </xf>
    <xf numFmtId="2" fontId="11" fillId="41" borderId="2" xfId="0" applyNumberFormat="1" applyFont="1" applyFill="1" applyBorder="1" applyAlignment="1">
      <alignment horizontal="right" vertical="center" indent="1"/>
    </xf>
    <xf numFmtId="2" fontId="2" fillId="41" borderId="1" xfId="0" applyNumberFormat="1" applyFont="1" applyFill="1" applyBorder="1" applyAlignment="1">
      <alignment horizontal="right" vertical="center" indent="1"/>
    </xf>
    <xf numFmtId="0" fontId="3" fillId="4" borderId="1" xfId="0" applyFont="1" applyFill="1" applyBorder="1" applyAlignment="1">
      <alignment vertical="center"/>
    </xf>
    <xf numFmtId="0" fontId="0" fillId="0" borderId="0" xfId="0" applyFill="1" applyAlignment="1"/>
    <xf numFmtId="0" fontId="17" fillId="4" borderId="9" xfId="0" applyFont="1" applyFill="1" applyBorder="1" applyAlignment="1">
      <alignment vertical="top" wrapText="1"/>
    </xf>
    <xf numFmtId="0" fontId="3" fillId="7" borderId="5" xfId="0" applyFont="1" applyFill="1" applyBorder="1" applyAlignment="1">
      <alignment horizontal="left" vertical="center"/>
    </xf>
    <xf numFmtId="0" fontId="64" fillId="7" borderId="4" xfId="0" applyFont="1" applyFill="1" applyBorder="1" applyAlignment="1">
      <alignment horizontal="center" vertical="center"/>
    </xf>
    <xf numFmtId="0" fontId="3" fillId="7" borderId="4" xfId="0" applyNumberFormat="1" applyFont="1" applyFill="1" applyBorder="1" applyAlignment="1">
      <alignment horizontal="center" vertical="center"/>
    </xf>
    <xf numFmtId="0" fontId="3" fillId="7" borderId="4" xfId="0" applyFont="1" applyFill="1" applyBorder="1" applyAlignment="1">
      <alignment horizontal="center" vertical="center"/>
    </xf>
    <xf numFmtId="49" fontId="3" fillId="7" borderId="4" xfId="0" applyNumberFormat="1" applyFont="1" applyFill="1" applyBorder="1" applyAlignment="1">
      <alignment horizontal="center" vertical="center"/>
    </xf>
    <xf numFmtId="2" fontId="90" fillId="7" borderId="4" xfId="0" applyNumberFormat="1" applyFont="1" applyFill="1" applyBorder="1" applyAlignment="1">
      <alignment horizontal="center" vertical="center"/>
    </xf>
    <xf numFmtId="0" fontId="59" fillId="7" borderId="4" xfId="0" applyFont="1" applyFill="1" applyBorder="1" applyAlignment="1">
      <alignment horizontal="center" vertical="center"/>
    </xf>
    <xf numFmtId="0" fontId="35" fillId="7" borderId="4" xfId="0" applyFont="1" applyFill="1" applyBorder="1" applyAlignment="1">
      <alignment horizontal="center" vertical="center"/>
    </xf>
    <xf numFmtId="0" fontId="90" fillId="7" borderId="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13" xfId="0" applyFont="1" applyFill="1" applyBorder="1" applyAlignment="1">
      <alignment horizontal="left" vertical="center"/>
    </xf>
    <xf numFmtId="0" fontId="64" fillId="7" borderId="10" xfId="0" applyFont="1" applyFill="1" applyBorder="1" applyAlignment="1">
      <alignment horizontal="center" vertical="center"/>
    </xf>
    <xf numFmtId="0" fontId="3" fillId="7" borderId="10" xfId="0" applyNumberFormat="1" applyFont="1" applyFill="1" applyBorder="1" applyAlignment="1">
      <alignment horizontal="center" vertical="center"/>
    </xf>
    <xf numFmtId="0" fontId="3" fillId="7" borderId="10" xfId="0" applyFont="1" applyFill="1" applyBorder="1" applyAlignment="1">
      <alignment horizontal="center" vertical="center"/>
    </xf>
    <xf numFmtId="49" fontId="3" fillId="7" borderId="10" xfId="0" applyNumberFormat="1" applyFont="1" applyFill="1" applyBorder="1" applyAlignment="1">
      <alignment horizontal="center" vertical="center"/>
    </xf>
    <xf numFmtId="2" fontId="90" fillId="7" borderId="10" xfId="0" applyNumberFormat="1" applyFont="1" applyFill="1" applyBorder="1" applyAlignment="1">
      <alignment horizontal="center" vertical="center"/>
    </xf>
    <xf numFmtId="0" fontId="59" fillId="7" borderId="10" xfId="0" applyFont="1" applyFill="1" applyBorder="1" applyAlignment="1">
      <alignment horizontal="center" vertical="center"/>
    </xf>
    <xf numFmtId="0" fontId="35" fillId="7" borderId="10" xfId="0" applyFont="1" applyFill="1" applyBorder="1" applyAlignment="1">
      <alignment horizontal="center" vertical="center"/>
    </xf>
    <xf numFmtId="0" fontId="90" fillId="7" borderId="10" xfId="0" applyFont="1" applyFill="1" applyBorder="1" applyAlignment="1">
      <alignment horizontal="center" vertical="center"/>
    </xf>
    <xf numFmtId="0" fontId="3" fillId="7" borderId="14" xfId="0" applyFont="1" applyFill="1" applyBorder="1" applyAlignment="1">
      <alignment horizontal="center" vertical="center"/>
    </xf>
    <xf numFmtId="0" fontId="0" fillId="5" borderId="10" xfId="0" applyFill="1" applyBorder="1" applyAlignment="1">
      <alignment horizontal="center" vertical="center"/>
    </xf>
    <xf numFmtId="0" fontId="0" fillId="5" borderId="10" xfId="0" applyFont="1" applyFill="1" applyBorder="1" applyAlignment="1">
      <alignment horizontal="center" vertical="center"/>
    </xf>
    <xf numFmtId="0" fontId="22" fillId="5" borderId="10" xfId="0" applyFont="1" applyFill="1" applyBorder="1" applyAlignment="1">
      <alignment horizontal="right" vertical="center" indent="1"/>
    </xf>
    <xf numFmtId="0" fontId="22" fillId="5" borderId="10" xfId="0" applyFont="1" applyFill="1" applyBorder="1" applyAlignment="1">
      <alignment vertical="center"/>
    </xf>
    <xf numFmtId="0" fontId="22" fillId="5" borderId="10" xfId="0" applyFont="1" applyFill="1" applyBorder="1" applyAlignment="1">
      <alignment vertical="center" wrapText="1"/>
    </xf>
    <xf numFmtId="0" fontId="0" fillId="5" borderId="10" xfId="0" applyFont="1" applyFill="1" applyBorder="1" applyAlignment="1">
      <alignment horizontal="left" vertical="center"/>
    </xf>
    <xf numFmtId="0" fontId="0" fillId="5" borderId="10" xfId="0" applyFont="1" applyFill="1" applyBorder="1" applyAlignment="1">
      <alignment vertical="center"/>
    </xf>
    <xf numFmtId="0" fontId="17" fillId="4" borderId="9" xfId="0" applyFont="1" applyFill="1" applyBorder="1" applyAlignment="1">
      <alignment vertical="center" wrapText="1"/>
    </xf>
    <xf numFmtId="0" fontId="11" fillId="4" borderId="13" xfId="0" applyFont="1" applyFill="1" applyBorder="1" applyAlignment="1">
      <alignment horizontal="center"/>
    </xf>
    <xf numFmtId="0" fontId="11" fillId="4" borderId="10" xfId="0" applyFont="1" applyFill="1" applyBorder="1" applyAlignment="1">
      <alignment horizontal="center" wrapText="1"/>
    </xf>
    <xf numFmtId="0" fontId="11" fillId="4" borderId="10" xfId="0" applyFont="1" applyFill="1" applyBorder="1" applyAlignment="1">
      <alignment horizontal="center"/>
    </xf>
    <xf numFmtId="0" fontId="23" fillId="4" borderId="10" xfId="0" applyFont="1" applyFill="1" applyBorder="1" applyAlignment="1">
      <alignment horizontal="left" indent="1"/>
    </xf>
    <xf numFmtId="0" fontId="23" fillId="4" borderId="14" xfId="0" applyFont="1" applyFill="1" applyBorder="1" applyAlignment="1">
      <alignment horizontal="left" vertical="center" indent="1"/>
    </xf>
    <xf numFmtId="0" fontId="24" fillId="4" borderId="0" xfId="0" applyFont="1" applyFill="1" applyBorder="1" applyAlignment="1">
      <alignment horizontal="center" vertical="top"/>
    </xf>
    <xf numFmtId="0" fontId="24" fillId="4" borderId="0" xfId="0" applyFont="1" applyFill="1" applyBorder="1" applyAlignment="1">
      <alignment horizontal="left" vertical="top"/>
    </xf>
    <xf numFmtId="0" fontId="23" fillId="4" borderId="7" xfId="0" applyFont="1" applyFill="1" applyBorder="1" applyAlignment="1">
      <alignment horizontal="center" vertical="top"/>
    </xf>
    <xf numFmtId="0" fontId="26" fillId="4" borderId="7" xfId="0" applyFont="1" applyFill="1" applyBorder="1" applyAlignment="1">
      <alignment horizontal="center" vertical="top"/>
    </xf>
    <xf numFmtId="49" fontId="23" fillId="4" borderId="7" xfId="0" applyNumberFormat="1" applyFont="1" applyFill="1" applyBorder="1" applyAlignment="1">
      <alignment horizontal="center" vertical="top"/>
    </xf>
    <xf numFmtId="0" fontId="23" fillId="4" borderId="7" xfId="0" applyFont="1" applyFill="1" applyBorder="1" applyAlignment="1">
      <alignment horizontal="left" vertical="center" indent="1"/>
    </xf>
    <xf numFmtId="0" fontId="23" fillId="4" borderId="8" xfId="0" applyFont="1" applyFill="1" applyBorder="1" applyAlignment="1">
      <alignment horizontal="left" vertical="center" indent="1"/>
    </xf>
    <xf numFmtId="0" fontId="23" fillId="4" borderId="5" xfId="0" applyFont="1" applyFill="1" applyBorder="1" applyAlignment="1">
      <alignment horizontal="left" vertical="center" indent="1"/>
    </xf>
    <xf numFmtId="0" fontId="23" fillId="4" borderId="4" xfId="0" applyFont="1" applyFill="1" applyBorder="1" applyAlignment="1">
      <alignment horizontal="center" vertical="top"/>
    </xf>
    <xf numFmtId="0" fontId="23" fillId="4" borderId="4" xfId="0" applyFont="1" applyFill="1" applyBorder="1" applyAlignment="1">
      <alignment horizontal="left" vertical="top"/>
    </xf>
    <xf numFmtId="0" fontId="23" fillId="4" borderId="4" xfId="0" applyFont="1" applyFill="1" applyBorder="1" applyAlignment="1">
      <alignment horizontal="left" vertical="center" indent="1"/>
    </xf>
    <xf numFmtId="0" fontId="17" fillId="4" borderId="4" xfId="0" applyFont="1" applyFill="1" applyBorder="1" applyAlignment="1">
      <alignment horizontal="left" vertical="center" indent="1"/>
    </xf>
    <xf numFmtId="0" fontId="23" fillId="4" borderId="0" xfId="0" applyFont="1" applyFill="1" applyBorder="1" applyAlignment="1">
      <alignment horizontal="center" vertical="top"/>
    </xf>
    <xf numFmtId="0" fontId="26" fillId="4" borderId="0" xfId="0" applyFont="1" applyFill="1" applyBorder="1" applyAlignment="1">
      <alignment horizontal="center" vertical="top"/>
    </xf>
    <xf numFmtId="0" fontId="23" fillId="4" borderId="15" xfId="0" applyFont="1" applyFill="1" applyBorder="1" applyAlignment="1">
      <alignment horizontal="left" vertical="center" indent="1"/>
    </xf>
    <xf numFmtId="0" fontId="23" fillId="4" borderId="10" xfId="0" applyFont="1" applyFill="1" applyBorder="1" applyAlignment="1">
      <alignment horizontal="center" vertical="top"/>
    </xf>
    <xf numFmtId="0" fontId="26" fillId="4" borderId="10" xfId="0" applyFont="1" applyFill="1" applyBorder="1" applyAlignment="1">
      <alignment horizontal="center" vertical="top"/>
    </xf>
    <xf numFmtId="0" fontId="23" fillId="4" borderId="10" xfId="0" applyNumberFormat="1" applyFont="1" applyFill="1" applyBorder="1" applyAlignment="1">
      <alignment horizontal="center" vertical="top"/>
    </xf>
    <xf numFmtId="0" fontId="23" fillId="4" borderId="10" xfId="0" applyFont="1" applyFill="1" applyBorder="1" applyAlignment="1">
      <alignment horizontal="left" vertical="center" indent="1"/>
    </xf>
    <xf numFmtId="0" fontId="23" fillId="4" borderId="0" xfId="0" applyNumberFormat="1" applyFont="1" applyFill="1" applyBorder="1" applyAlignment="1">
      <alignment horizontal="center" vertical="top"/>
    </xf>
    <xf numFmtId="0" fontId="23" fillId="4" borderId="4" xfId="0" applyFont="1" applyFill="1" applyBorder="1" applyAlignment="1">
      <alignment horizontal="right" vertical="center" indent="1"/>
    </xf>
    <xf numFmtId="2" fontId="71" fillId="4" borderId="5" xfId="0" applyNumberFormat="1" applyFont="1" applyFill="1" applyBorder="1" applyAlignment="1">
      <alignment vertical="center"/>
    </xf>
    <xf numFmtId="2" fontId="71" fillId="4" borderId="4" xfId="0" applyNumberFormat="1" applyFont="1" applyFill="1" applyBorder="1" applyAlignment="1">
      <alignment vertical="center"/>
    </xf>
    <xf numFmtId="2" fontId="71" fillId="4" borderId="0" xfId="0" applyNumberFormat="1" applyFont="1" applyFill="1" applyBorder="1" applyAlignment="1">
      <alignment vertical="center"/>
    </xf>
    <xf numFmtId="2" fontId="17" fillId="4" borderId="0" xfId="0" applyNumberFormat="1" applyFont="1" applyFill="1" applyBorder="1" applyAlignment="1">
      <alignment vertical="center" wrapText="1"/>
    </xf>
    <xf numFmtId="0" fontId="17" fillId="4" borderId="7" xfId="0" applyFont="1" applyFill="1" applyBorder="1" applyAlignment="1">
      <alignment horizontal="left" vertical="center" indent="1"/>
    </xf>
    <xf numFmtId="0" fontId="11" fillId="0" borderId="0" xfId="0" applyFont="1" applyFill="1" applyBorder="1" applyAlignment="1">
      <alignment horizontal="center"/>
    </xf>
    <xf numFmtId="0" fontId="11" fillId="0" borderId="0" xfId="0" applyFont="1" applyFill="1" applyBorder="1" applyAlignment="1">
      <alignment horizontal="center" wrapText="1"/>
    </xf>
    <xf numFmtId="0" fontId="24" fillId="0" borderId="0" xfId="0" applyFont="1" applyFill="1" applyBorder="1" applyAlignment="1">
      <alignment horizontal="center" vertical="top"/>
    </xf>
    <xf numFmtId="0" fontId="23" fillId="0" borderId="0" xfId="0" applyFont="1" applyFill="1" applyBorder="1" applyAlignment="1">
      <alignment horizontal="center" vertical="top"/>
    </xf>
    <xf numFmtId="0" fontId="26" fillId="0" borderId="0" xfId="0" applyFont="1" applyFill="1" applyBorder="1" applyAlignment="1">
      <alignment horizontal="center" vertical="top"/>
    </xf>
    <xf numFmtId="0" fontId="23" fillId="0" borderId="0" xfId="0" applyFont="1" applyFill="1" applyBorder="1" applyAlignment="1">
      <alignment horizontal="left" vertical="top"/>
    </xf>
    <xf numFmtId="0" fontId="17" fillId="0" borderId="0" xfId="0" applyFont="1" applyFill="1" applyBorder="1" applyAlignment="1">
      <alignment horizontal="left" vertical="center" indent="1"/>
    </xf>
    <xf numFmtId="0" fontId="23" fillId="0" borderId="0" xfId="0" applyNumberFormat="1" applyFont="1" applyFill="1" applyBorder="1" applyAlignment="1">
      <alignment horizontal="center" vertical="top"/>
    </xf>
    <xf numFmtId="0" fontId="23" fillId="0" borderId="0" xfId="0" applyFont="1" applyFill="1" applyBorder="1" applyAlignment="1">
      <alignment horizontal="right" vertical="center" indent="1"/>
    </xf>
    <xf numFmtId="2" fontId="12" fillId="0" borderId="0" xfId="0" applyNumberFormat="1" applyFont="1" applyFill="1" applyBorder="1" applyAlignment="1">
      <alignment horizontal="center" vertical="center"/>
    </xf>
    <xf numFmtId="2" fontId="2" fillId="4" borderId="0" xfId="0" applyNumberFormat="1" applyFont="1" applyFill="1"/>
    <xf numFmtId="0" fontId="0" fillId="0" borderId="7" xfId="0" applyFill="1" applyBorder="1" applyAlignment="1">
      <alignment vertical="center"/>
    </xf>
    <xf numFmtId="0" fontId="0" fillId="7" borderId="5" xfId="0" applyFill="1" applyBorder="1" applyAlignment="1">
      <alignment vertical="center"/>
    </xf>
    <xf numFmtId="0" fontId="0" fillId="7" borderId="4" xfId="0" applyFill="1" applyBorder="1" applyAlignment="1">
      <alignment vertical="center"/>
    </xf>
    <xf numFmtId="0" fontId="0" fillId="7" borderId="3" xfId="0" applyFill="1" applyBorder="1" applyAlignment="1">
      <alignment vertical="center"/>
    </xf>
    <xf numFmtId="0" fontId="0" fillId="7" borderId="2" xfId="0" applyFill="1" applyBorder="1" applyAlignment="1">
      <alignment vertical="center"/>
    </xf>
    <xf numFmtId="0" fontId="22" fillId="4" borderId="5" xfId="0" applyFont="1" applyFill="1" applyBorder="1" applyAlignment="1">
      <alignment horizontal="left" vertical="center"/>
    </xf>
    <xf numFmtId="0" fontId="22" fillId="4" borderId="4" xfId="0" applyFont="1" applyFill="1" applyBorder="1" applyAlignment="1">
      <alignment horizontal="left" vertical="center"/>
    </xf>
    <xf numFmtId="0" fontId="22" fillId="4" borderId="3" xfId="0" applyFont="1" applyFill="1" applyBorder="1" applyAlignment="1">
      <alignment horizontal="left" vertical="center"/>
    </xf>
    <xf numFmtId="0" fontId="23" fillId="4" borderId="15" xfId="0" applyFont="1" applyFill="1" applyBorder="1" applyAlignment="1">
      <alignment horizontal="left" vertical="center" wrapText="1"/>
    </xf>
    <xf numFmtId="0" fontId="23" fillId="4" borderId="14" xfId="0" applyFont="1" applyFill="1" applyBorder="1" applyAlignment="1">
      <alignment horizontal="left" vertical="center" wrapText="1"/>
    </xf>
    <xf numFmtId="0" fontId="23" fillId="4" borderId="8" xfId="0" applyFont="1" applyFill="1" applyBorder="1" applyAlignment="1">
      <alignment horizontal="left" vertical="center" wrapText="1"/>
    </xf>
    <xf numFmtId="0" fontId="17" fillId="4" borderId="0" xfId="0" applyFont="1" applyFill="1" applyAlignment="1">
      <alignment vertical="center" wrapText="1"/>
    </xf>
    <xf numFmtId="0" fontId="23" fillId="4" borderId="8" xfId="0" applyFont="1" applyFill="1" applyBorder="1" applyAlignment="1">
      <alignment horizontal="left" vertical="top" wrapText="1"/>
    </xf>
    <xf numFmtId="0" fontId="23" fillId="4" borderId="15" xfId="0" applyFont="1" applyFill="1" applyBorder="1" applyAlignment="1">
      <alignment horizontal="left" vertical="top" wrapText="1"/>
    </xf>
    <xf numFmtId="0" fontId="23" fillId="4" borderId="14" xfId="0" applyFont="1" applyFill="1" applyBorder="1" applyAlignment="1">
      <alignment horizontal="left" vertical="top" wrapText="1"/>
    </xf>
    <xf numFmtId="0" fontId="76" fillId="4" borderId="0" xfId="0" applyFont="1" applyFill="1" applyAlignment="1">
      <alignment horizontal="center" vertical="center"/>
    </xf>
    <xf numFmtId="0" fontId="17" fillId="4" borderId="0" xfId="0" applyFont="1" applyFill="1" applyAlignment="1">
      <alignment horizontal="left" vertical="center" wrapText="1" indent="1"/>
    </xf>
    <xf numFmtId="0" fontId="17" fillId="4" borderId="0" xfId="0" applyFont="1" applyFill="1" applyBorder="1" applyAlignment="1">
      <alignment horizontal="left" vertical="top" wrapText="1" indent="1"/>
    </xf>
    <xf numFmtId="0" fontId="17" fillId="4" borderId="0" xfId="0" applyFont="1" applyFill="1" applyBorder="1" applyAlignment="1">
      <alignment horizontal="left" vertical="center" wrapText="1" indent="1"/>
    </xf>
    <xf numFmtId="0" fontId="17" fillId="4" borderId="0" xfId="0" applyFont="1" applyFill="1" applyAlignment="1">
      <alignment horizontal="left" vertical="top" wrapText="1" indent="1"/>
    </xf>
    <xf numFmtId="0" fontId="0" fillId="0" borderId="14" xfId="0" applyBorder="1" applyAlignment="1">
      <alignment vertical="top"/>
    </xf>
    <xf numFmtId="0" fontId="0" fillId="4" borderId="0" xfId="0" applyFill="1" applyAlignment="1">
      <alignment horizontal="left" vertical="center" wrapText="1" indent="1"/>
    </xf>
    <xf numFmtId="0" fontId="17" fillId="4" borderId="10" xfId="0" applyFont="1" applyFill="1" applyBorder="1" applyAlignment="1">
      <alignment horizontal="left" vertical="top" wrapText="1" indent="1"/>
    </xf>
    <xf numFmtId="0" fontId="46" fillId="4" borderId="5" xfId="1" applyFont="1" applyFill="1" applyBorder="1" applyAlignment="1" applyProtection="1">
      <alignment horizontal="center" vertical="center"/>
      <protection locked="0"/>
    </xf>
    <xf numFmtId="0" fontId="46" fillId="4" borderId="4" xfId="1" applyFont="1" applyFill="1" applyBorder="1" applyAlignment="1" applyProtection="1">
      <alignment horizontal="center" vertical="center"/>
      <protection locked="0"/>
    </xf>
    <xf numFmtId="0" fontId="46" fillId="4" borderId="3" xfId="1" applyFont="1" applyFill="1" applyBorder="1" applyAlignment="1" applyProtection="1">
      <alignment horizontal="center" vertical="center"/>
      <protection locked="0"/>
    </xf>
    <xf numFmtId="1" fontId="2" fillId="4" borderId="5" xfId="0" applyNumberFormat="1" applyFont="1" applyFill="1" applyBorder="1" applyAlignment="1">
      <alignment horizontal="center" vertical="center"/>
    </xf>
    <xf numFmtId="1" fontId="2" fillId="4" borderId="4" xfId="0" applyNumberFormat="1" applyFont="1" applyFill="1" applyBorder="1" applyAlignment="1">
      <alignment horizontal="center" vertical="center"/>
    </xf>
    <xf numFmtId="1" fontId="2" fillId="4" borderId="3" xfId="0" applyNumberFormat="1" applyFont="1" applyFill="1" applyBorder="1" applyAlignment="1">
      <alignment horizontal="center" vertical="center"/>
    </xf>
    <xf numFmtId="0" fontId="73" fillId="4" borderId="0" xfId="0" applyFont="1" applyFill="1" applyAlignment="1">
      <alignment horizontal="left" vertical="top" wrapText="1" indent="1"/>
    </xf>
    <xf numFmtId="0" fontId="2" fillId="4" borderId="6" xfId="0" applyFont="1" applyFill="1" applyBorder="1" applyAlignment="1">
      <alignment horizontal="left" vertical="center" wrapText="1" indent="2"/>
    </xf>
    <xf numFmtId="0" fontId="2" fillId="4" borderId="7" xfId="0" applyFont="1" applyFill="1" applyBorder="1" applyAlignment="1">
      <alignment horizontal="left" vertical="center" wrapText="1" indent="2"/>
    </xf>
    <xf numFmtId="0" fontId="2" fillId="4" borderId="8" xfId="0" applyFont="1" applyFill="1" applyBorder="1" applyAlignment="1">
      <alignment horizontal="left" vertical="center" wrapText="1" indent="2"/>
    </xf>
    <xf numFmtId="0" fontId="2" fillId="4" borderId="9" xfId="0" applyFont="1" applyFill="1" applyBorder="1" applyAlignment="1">
      <alignment horizontal="left" vertical="center" wrapText="1" indent="2"/>
    </xf>
    <xf numFmtId="0" fontId="2" fillId="4" borderId="0" xfId="0" applyFont="1" applyFill="1" applyBorder="1" applyAlignment="1">
      <alignment horizontal="left" vertical="center" wrapText="1" indent="2"/>
    </xf>
    <xf numFmtId="0" fontId="2" fillId="4" borderId="15" xfId="0" applyFont="1" applyFill="1" applyBorder="1" applyAlignment="1">
      <alignment horizontal="left" vertical="center" wrapText="1" indent="2"/>
    </xf>
    <xf numFmtId="0" fontId="2" fillId="4" borderId="13" xfId="0" applyFont="1" applyFill="1" applyBorder="1" applyAlignment="1">
      <alignment horizontal="left" vertical="center" wrapText="1" indent="2"/>
    </xf>
    <xf numFmtId="0" fontId="2" fillId="4" borderId="10" xfId="0" applyFont="1" applyFill="1" applyBorder="1" applyAlignment="1">
      <alignment horizontal="left" vertical="center" wrapText="1" indent="2"/>
    </xf>
    <xf numFmtId="0" fontId="2" fillId="4" borderId="14" xfId="0" applyFont="1" applyFill="1" applyBorder="1" applyAlignment="1">
      <alignment horizontal="left" vertical="center" wrapText="1" indent="2"/>
    </xf>
    <xf numFmtId="165" fontId="0" fillId="0" borderId="0" xfId="0" applyNumberFormat="1" applyFill="1" applyAlignment="1">
      <alignment horizontal="center"/>
    </xf>
    <xf numFmtId="0" fontId="2" fillId="4" borderId="0" xfId="0" applyFont="1" applyFill="1" applyBorder="1" applyAlignment="1">
      <alignment horizontal="center" wrapText="1"/>
    </xf>
    <xf numFmtId="164" fontId="0" fillId="0" borderId="0" xfId="0" applyNumberFormat="1" applyFill="1" applyAlignment="1">
      <alignment horizontal="center"/>
    </xf>
    <xf numFmtId="0" fontId="2" fillId="4" borderId="10" xfId="0" applyFont="1" applyFill="1" applyBorder="1" applyAlignment="1">
      <alignment horizontal="center" wrapText="1"/>
    </xf>
    <xf numFmtId="0" fontId="2" fillId="4" borderId="0" xfId="0" applyFont="1" applyFill="1" applyAlignment="1">
      <alignment horizontal="center"/>
    </xf>
    <xf numFmtId="0" fontId="0" fillId="4" borderId="0" xfId="0" applyFill="1" applyAlignment="1">
      <alignment horizontal="left" vertical="center" wrapText="1"/>
    </xf>
    <xf numFmtId="0" fontId="0" fillId="4" borderId="0" xfId="0" applyFill="1" applyBorder="1" applyAlignment="1">
      <alignment horizontal="center" vertical="center" wrapText="1"/>
    </xf>
    <xf numFmtId="2" fontId="2" fillId="26" borderId="2" xfId="0" applyNumberFormat="1" applyFont="1" applyFill="1" applyBorder="1" applyAlignment="1">
      <alignment horizontal="center"/>
    </xf>
    <xf numFmtId="0" fontId="2" fillId="26" borderId="2" xfId="0" applyFont="1" applyFill="1" applyBorder="1" applyAlignment="1">
      <alignment horizontal="center"/>
    </xf>
    <xf numFmtId="0" fontId="0" fillId="4" borderId="0" xfId="0" applyFill="1" applyAlignment="1">
      <alignment horizontal="center"/>
    </xf>
    <xf numFmtId="0" fontId="0" fillId="0" borderId="0" xfId="0" applyFill="1" applyAlignment="1">
      <alignment horizontal="left" vertical="top" wrapText="1"/>
    </xf>
    <xf numFmtId="2" fontId="2" fillId="26" borderId="2" xfId="0" applyNumberFormat="1" applyFont="1" applyFill="1" applyBorder="1" applyAlignment="1">
      <alignment horizontal="center" vertical="center"/>
    </xf>
    <xf numFmtId="0" fontId="0" fillId="4" borderId="0" xfId="0" applyFill="1" applyBorder="1" applyAlignment="1">
      <alignment horizontal="left" wrapText="1"/>
    </xf>
    <xf numFmtId="0" fontId="0" fillId="4" borderId="0" xfId="0" applyFill="1" applyAlignment="1">
      <alignment horizontal="left" wrapText="1"/>
    </xf>
    <xf numFmtId="0" fontId="0" fillId="4" borderId="0" xfId="0" applyFill="1" applyBorder="1" applyAlignment="1">
      <alignment horizontal="left" vertical="center" wrapText="1"/>
    </xf>
    <xf numFmtId="2" fontId="0" fillId="4" borderId="13" xfId="0" applyNumberFormat="1" applyFill="1" applyBorder="1" applyAlignment="1">
      <alignment horizontal="right" vertical="center" indent="1"/>
    </xf>
    <xf numFmtId="2" fontId="0" fillId="4" borderId="10" xfId="0" applyNumberFormat="1" applyFill="1" applyBorder="1" applyAlignment="1">
      <alignment horizontal="right" vertical="center" indent="1"/>
    </xf>
    <xf numFmtId="2" fontId="0" fillId="4" borderId="14" xfId="0" applyNumberFormat="1" applyFill="1" applyBorder="1" applyAlignment="1">
      <alignment horizontal="right" vertical="center" indent="1"/>
    </xf>
    <xf numFmtId="0" fontId="2" fillId="4" borderId="29" xfId="0" applyFont="1" applyFill="1" applyBorder="1" applyAlignment="1">
      <alignment horizontal="left" vertical="center"/>
    </xf>
    <xf numFmtId="0" fontId="2" fillId="4" borderId="0" xfId="0" applyFont="1" applyFill="1" applyAlignment="1">
      <alignment horizontal="left" vertical="center"/>
    </xf>
    <xf numFmtId="0" fontId="2" fillId="26" borderId="2" xfId="0" applyFont="1" applyFill="1" applyBorder="1" applyAlignment="1">
      <alignment horizontal="center" vertical="center"/>
    </xf>
    <xf numFmtId="0" fontId="0" fillId="4" borderId="0" xfId="0" applyFill="1" applyAlignment="1">
      <alignment horizontal="left" vertical="top" wrapText="1"/>
    </xf>
    <xf numFmtId="0" fontId="2" fillId="4" borderId="0" xfId="0" applyFont="1" applyFill="1" applyAlignment="1">
      <alignment horizontal="left" vertical="center" wrapText="1"/>
    </xf>
    <xf numFmtId="2" fontId="2" fillId="26" borderId="2" xfId="0" applyNumberFormat="1" applyFont="1" applyFill="1" applyBorder="1" applyAlignment="1" applyProtection="1">
      <alignment horizontal="center"/>
      <protection locked="0"/>
    </xf>
    <xf numFmtId="0" fontId="2" fillId="26" borderId="2" xfId="0" applyFont="1" applyFill="1" applyBorder="1" applyAlignment="1" applyProtection="1">
      <alignment horizontal="center"/>
      <protection locked="0"/>
    </xf>
    <xf numFmtId="2" fontId="2" fillId="26" borderId="2" xfId="0" applyNumberFormat="1" applyFont="1" applyFill="1" applyBorder="1" applyAlignment="1" applyProtection="1">
      <alignment horizontal="center" vertical="center"/>
      <protection locked="0"/>
    </xf>
    <xf numFmtId="0" fontId="2" fillId="26" borderId="2" xfId="0" applyFont="1" applyFill="1" applyBorder="1" applyAlignment="1" applyProtection="1">
      <alignment horizontal="center" vertical="center"/>
      <protection locked="0"/>
    </xf>
    <xf numFmtId="2" fontId="2" fillId="4" borderId="0" xfId="0" applyNumberFormat="1" applyFont="1" applyFill="1" applyAlignment="1">
      <alignment horizontal="center"/>
    </xf>
    <xf numFmtId="0" fontId="8" fillId="4" borderId="0" xfId="0" applyFont="1" applyFill="1" applyBorder="1" applyAlignment="1">
      <alignment horizontal="center"/>
    </xf>
    <xf numFmtId="0" fontId="8" fillId="4" borderId="0" xfId="0" applyFont="1" applyFill="1" applyAlignment="1">
      <alignment horizontal="left" vertical="top" wrapText="1" indent="4"/>
    </xf>
    <xf numFmtId="0" fontId="0" fillId="0" borderId="0" xfId="0" applyBorder="1" applyAlignment="1">
      <alignment horizontal="left" vertical="center" wrapText="1"/>
    </xf>
    <xf numFmtId="0" fontId="0" fillId="0" borderId="10" xfId="0" applyBorder="1" applyAlignment="1">
      <alignment horizontal="left" vertical="center" wrapText="1"/>
    </xf>
    <xf numFmtId="0" fontId="0" fillId="4" borderId="7" xfId="0" applyFill="1" applyBorder="1" applyAlignment="1">
      <alignment horizontal="left" wrapText="1"/>
    </xf>
    <xf numFmtId="0" fontId="0" fillId="4" borderId="0" xfId="0" applyFont="1" applyFill="1" applyAlignment="1">
      <alignment horizontal="left" vertical="center" wrapText="1"/>
    </xf>
    <xf numFmtId="0" fontId="2" fillId="4" borderId="0" xfId="0" applyFont="1" applyFill="1" applyAlignment="1">
      <alignment horizontal="left" vertical="top"/>
    </xf>
    <xf numFmtId="2" fontId="21" fillId="4" borderId="0" xfId="0" applyNumberFormat="1" applyFont="1" applyFill="1" applyBorder="1" applyAlignment="1">
      <alignment horizontal="center" vertical="center"/>
    </xf>
    <xf numFmtId="3" fontId="2" fillId="4" borderId="0" xfId="0" applyNumberFormat="1" applyFont="1" applyFill="1" applyBorder="1" applyAlignment="1">
      <alignment horizontal="right" vertical="center" indent="2"/>
    </xf>
    <xf numFmtId="4" fontId="2" fillId="4" borderId="0" xfId="0" applyNumberFormat="1" applyFont="1" applyFill="1" applyBorder="1" applyAlignment="1">
      <alignment horizontal="right" vertical="center" indent="2"/>
    </xf>
    <xf numFmtId="49" fontId="2" fillId="26" borderId="5" xfId="0" applyNumberFormat="1" applyFont="1" applyFill="1" applyBorder="1" applyAlignment="1" applyProtection="1">
      <alignment horizontal="center" vertical="center" wrapText="1"/>
      <protection locked="0"/>
    </xf>
    <xf numFmtId="49" fontId="2" fillId="26" borderId="3" xfId="0" applyNumberFormat="1" applyFont="1" applyFill="1" applyBorder="1" applyAlignment="1" applyProtection="1">
      <alignment horizontal="center" vertical="center" wrapText="1"/>
      <protection locked="0"/>
    </xf>
    <xf numFmtId="2" fontId="8" fillId="4" borderId="0" xfId="0" applyNumberFormat="1" applyFont="1" applyFill="1" applyBorder="1" applyAlignment="1">
      <alignment horizontal="center" vertical="center"/>
    </xf>
    <xf numFmtId="0" fontId="21" fillId="4" borderId="0" xfId="0" applyFont="1" applyFill="1" applyAlignment="1">
      <alignment horizontal="center"/>
    </xf>
    <xf numFmtId="0" fontId="8" fillId="4" borderId="0" xfId="0" applyFont="1" applyFill="1" applyAlignment="1">
      <alignment horizontal="center"/>
    </xf>
    <xf numFmtId="3" fontId="2" fillId="4" borderId="4" xfId="0" applyNumberFormat="1" applyFont="1" applyFill="1" applyBorder="1" applyAlignment="1">
      <alignment horizontal="right" vertical="center" indent="2"/>
    </xf>
    <xf numFmtId="0" fontId="2" fillId="4" borderId="4" xfId="0" applyFont="1" applyFill="1" applyBorder="1" applyAlignment="1">
      <alignment horizontal="center"/>
    </xf>
    <xf numFmtId="3" fontId="2" fillId="4" borderId="0" xfId="0" applyNumberFormat="1" applyFont="1" applyFill="1" applyAlignment="1">
      <alignment horizontal="center"/>
    </xf>
    <xf numFmtId="3" fontId="2" fillId="4" borderId="4" xfId="0" applyNumberFormat="1" applyFont="1" applyFill="1" applyBorder="1" applyAlignment="1">
      <alignment horizontal="center"/>
    </xf>
    <xf numFmtId="2" fontId="2" fillId="4" borderId="4" xfId="0" applyNumberFormat="1" applyFont="1" applyFill="1" applyBorder="1" applyAlignment="1">
      <alignment horizontal="center"/>
    </xf>
    <xf numFmtId="0" fontId="21" fillId="4" borderId="0" xfId="0" applyFont="1" applyFill="1" applyBorder="1" applyAlignment="1">
      <alignment horizontal="center"/>
    </xf>
    <xf numFmtId="0" fontId="21" fillId="4" borderId="4" xfId="0" applyFont="1" applyFill="1" applyBorder="1" applyAlignment="1">
      <alignment horizontal="center"/>
    </xf>
    <xf numFmtId="49" fontId="2" fillId="4" borderId="11" xfId="0" applyNumberFormat="1" applyFont="1" applyFill="1" applyBorder="1" applyAlignment="1">
      <alignment horizontal="center" vertical="center"/>
    </xf>
    <xf numFmtId="2" fontId="71" fillId="4" borderId="2" xfId="0" applyNumberFormat="1" applyFont="1" applyFill="1" applyBorder="1" applyAlignment="1">
      <alignment horizontal="center" vertical="center"/>
    </xf>
    <xf numFmtId="2" fontId="71" fillId="4" borderId="5" xfId="0" applyNumberFormat="1" applyFont="1" applyFill="1" applyBorder="1" applyAlignment="1">
      <alignment horizontal="center" vertical="center"/>
    </xf>
    <xf numFmtId="0" fontId="22" fillId="4" borderId="1" xfId="0" applyFont="1" applyFill="1" applyBorder="1" applyAlignment="1">
      <alignment horizontal="center" vertical="center"/>
    </xf>
    <xf numFmtId="2" fontId="71" fillId="4" borderId="1" xfId="0" applyNumberFormat="1" applyFont="1" applyFill="1" applyBorder="1" applyAlignment="1">
      <alignment horizontal="center" vertical="center"/>
    </xf>
    <xf numFmtId="2" fontId="71" fillId="4" borderId="6" xfId="0" applyNumberFormat="1" applyFont="1" applyFill="1" applyBorder="1" applyAlignment="1">
      <alignment horizontal="center" vertical="center"/>
    </xf>
    <xf numFmtId="0" fontId="22" fillId="4" borderId="11" xfId="0" applyFont="1" applyFill="1" applyBorder="1" applyAlignment="1">
      <alignment horizontal="center" vertical="center"/>
    </xf>
    <xf numFmtId="2" fontId="71" fillId="4" borderId="11" xfId="0" applyNumberFormat="1" applyFont="1" applyFill="1" applyBorder="1" applyAlignment="1">
      <alignment horizontal="center" vertical="center"/>
    </xf>
    <xf numFmtId="2" fontId="71" fillId="4" borderId="13" xfId="0" applyNumberFormat="1" applyFont="1" applyFill="1" applyBorder="1" applyAlignment="1">
      <alignment horizontal="center" vertical="center"/>
    </xf>
    <xf numFmtId="0" fontId="22" fillId="4" borderId="5" xfId="0" applyFont="1" applyFill="1" applyBorder="1" applyAlignment="1">
      <alignment horizontal="right" vertical="center" indent="1"/>
    </xf>
    <xf numFmtId="0" fontId="22" fillId="4" borderId="4" xfId="0" applyFont="1" applyFill="1" applyBorder="1" applyAlignment="1">
      <alignment horizontal="right" vertical="center" indent="1"/>
    </xf>
    <xf numFmtId="0" fontId="22" fillId="4" borderId="2" xfId="0" applyFont="1" applyFill="1" applyBorder="1" applyAlignment="1">
      <alignment horizontal="center" vertical="center"/>
    </xf>
    <xf numFmtId="2" fontId="71" fillId="4" borderId="3" xfId="0" applyNumberFormat="1" applyFont="1" applyFill="1" applyBorder="1" applyAlignment="1">
      <alignment horizontal="center" vertical="center"/>
    </xf>
    <xf numFmtId="0" fontId="17" fillId="4" borderId="9" xfId="0" applyFont="1" applyFill="1" applyBorder="1" applyAlignment="1">
      <alignment horizontal="left" vertical="center" wrapText="1" indent="1"/>
    </xf>
    <xf numFmtId="0" fontId="17" fillId="4" borderId="15" xfId="0" applyFont="1" applyFill="1" applyBorder="1" applyAlignment="1">
      <alignment horizontal="left" vertical="center" wrapText="1" indent="1"/>
    </xf>
    <xf numFmtId="0" fontId="2" fillId="4" borderId="9" xfId="0" applyFont="1" applyFill="1" applyBorder="1" applyAlignment="1">
      <alignment horizontal="right" vertical="center"/>
    </xf>
    <xf numFmtId="0" fontId="2" fillId="4" borderId="0" xfId="0" applyFont="1" applyFill="1" applyBorder="1" applyAlignment="1">
      <alignment horizontal="right" vertical="center"/>
    </xf>
    <xf numFmtId="0" fontId="34" fillId="4" borderId="9" xfId="0" applyFont="1" applyFill="1" applyBorder="1" applyAlignment="1">
      <alignment horizontal="right" vertical="center" wrapText="1" indent="1"/>
    </xf>
    <xf numFmtId="0" fontId="0" fillId="0" borderId="0" xfId="0" applyAlignment="1">
      <alignment horizontal="right" vertical="center" indent="1"/>
    </xf>
    <xf numFmtId="49" fontId="22" fillId="4" borderId="2" xfId="0" applyNumberFormat="1" applyFont="1" applyFill="1" applyBorder="1" applyAlignment="1">
      <alignment horizontal="center" vertical="center"/>
    </xf>
    <xf numFmtId="49" fontId="22" fillId="4" borderId="1" xfId="0" applyNumberFormat="1" applyFont="1" applyFill="1" applyBorder="1" applyAlignment="1">
      <alignment horizontal="center" vertical="center"/>
    </xf>
    <xf numFmtId="0" fontId="22" fillId="4" borderId="5" xfId="0" applyFont="1" applyFill="1" applyBorder="1" applyAlignment="1">
      <alignment horizontal="center"/>
    </xf>
    <xf numFmtId="0" fontId="22" fillId="4" borderId="4" xfId="0" applyFont="1" applyFill="1" applyBorder="1" applyAlignment="1">
      <alignment horizontal="center"/>
    </xf>
    <xf numFmtId="0" fontId="22" fillId="4" borderId="3" xfId="0" applyFont="1" applyFill="1" applyBorder="1" applyAlignment="1">
      <alignment horizontal="center"/>
    </xf>
    <xf numFmtId="0" fontId="22" fillId="4" borderId="6" xfId="0" applyFont="1" applyFill="1" applyBorder="1" applyAlignment="1">
      <alignment horizontal="center"/>
    </xf>
    <xf numFmtId="0" fontId="22" fillId="4" borderId="8" xfId="0" applyFont="1" applyFill="1" applyBorder="1" applyAlignment="1">
      <alignment horizontal="center"/>
    </xf>
    <xf numFmtId="0" fontId="22" fillId="4" borderId="9" xfId="0" applyFont="1" applyFill="1" applyBorder="1" applyAlignment="1">
      <alignment horizontal="center"/>
    </xf>
    <xf numFmtId="0" fontId="22" fillId="4" borderId="15" xfId="0" applyFont="1" applyFill="1" applyBorder="1" applyAlignment="1">
      <alignment horizontal="center"/>
    </xf>
    <xf numFmtId="0" fontId="22" fillId="4" borderId="6" xfId="0" applyFont="1" applyFill="1" applyBorder="1" applyAlignment="1">
      <alignment horizontal="center" wrapText="1"/>
    </xf>
    <xf numFmtId="0" fontId="22" fillId="4" borderId="8" xfId="0" applyFont="1" applyFill="1" applyBorder="1" applyAlignment="1">
      <alignment horizontal="center" wrapText="1"/>
    </xf>
    <xf numFmtId="0" fontId="22" fillId="4" borderId="13" xfId="0" applyFont="1" applyFill="1" applyBorder="1" applyAlignment="1">
      <alignment horizontal="center" wrapText="1"/>
    </xf>
    <xf numFmtId="0" fontId="22" fillId="4" borderId="14" xfId="0" applyFont="1" applyFill="1" applyBorder="1" applyAlignment="1">
      <alignment horizontal="center" wrapText="1"/>
    </xf>
    <xf numFmtId="0" fontId="2" fillId="4" borderId="1" xfId="0" applyFont="1" applyFill="1" applyBorder="1" applyAlignment="1">
      <alignment horizontal="center" wrapText="1"/>
    </xf>
    <xf numFmtId="0" fontId="2" fillId="4" borderId="11" xfId="0" applyFont="1" applyFill="1" applyBorder="1" applyAlignment="1">
      <alignment horizontal="center" wrapText="1"/>
    </xf>
    <xf numFmtId="0" fontId="22" fillId="4" borderId="0" xfId="0" applyFont="1" applyFill="1" applyBorder="1" applyAlignment="1">
      <alignment horizontal="center" vertical="center"/>
    </xf>
    <xf numFmtId="0" fontId="22" fillId="4" borderId="15" xfId="0" applyFont="1" applyFill="1" applyBorder="1" applyAlignment="1">
      <alignment horizontal="center" vertical="center"/>
    </xf>
    <xf numFmtId="0" fontId="2" fillId="4" borderId="0" xfId="0" applyNumberFormat="1" applyFont="1" applyFill="1" applyBorder="1" applyAlignment="1">
      <alignment horizontal="center" vertical="center" wrapText="1"/>
    </xf>
    <xf numFmtId="0" fontId="2" fillId="4" borderId="10" xfId="0" applyNumberFormat="1" applyFont="1" applyFill="1" applyBorder="1" applyAlignment="1">
      <alignment horizontal="center" vertical="center" wrapText="1"/>
    </xf>
    <xf numFmtId="0" fontId="17" fillId="4" borderId="5" xfId="0" applyNumberFormat="1" applyFont="1" applyFill="1" applyBorder="1" applyAlignment="1">
      <alignment horizontal="left" vertical="center" indent="1"/>
    </xf>
    <xf numFmtId="0" fontId="17" fillId="4" borderId="4" xfId="0" applyNumberFormat="1" applyFont="1" applyFill="1" applyBorder="1" applyAlignment="1">
      <alignment horizontal="left" vertical="center" indent="1"/>
    </xf>
    <xf numFmtId="0" fontId="17" fillId="4" borderId="3" xfId="0" applyNumberFormat="1" applyFont="1" applyFill="1" applyBorder="1" applyAlignment="1">
      <alignment horizontal="left" vertical="center" indent="1"/>
    </xf>
    <xf numFmtId="0" fontId="58" fillId="4" borderId="4" xfId="0" applyFont="1" applyFill="1" applyBorder="1" applyAlignment="1">
      <alignment horizontal="right" vertical="center"/>
    </xf>
    <xf numFmtId="49" fontId="22" fillId="4" borderId="4" xfId="0" applyNumberFormat="1" applyFont="1" applyFill="1" applyBorder="1" applyAlignment="1">
      <alignment horizontal="right" vertical="center" indent="1"/>
    </xf>
    <xf numFmtId="49" fontId="22" fillId="4" borderId="3" xfId="0" applyNumberFormat="1" applyFont="1" applyFill="1" applyBorder="1" applyAlignment="1">
      <alignment horizontal="right" vertical="center" indent="1"/>
    </xf>
    <xf numFmtId="49" fontId="22" fillId="4" borderId="5" xfId="0" applyNumberFormat="1" applyFont="1" applyFill="1" applyBorder="1" applyAlignment="1">
      <alignment horizontal="right" vertical="center" indent="1"/>
    </xf>
    <xf numFmtId="0" fontId="2" fillId="0" borderId="4" xfId="0" applyFont="1" applyBorder="1" applyAlignment="1">
      <alignment horizontal="right" vertical="center"/>
    </xf>
    <xf numFmtId="0" fontId="0" fillId="4" borderId="1" xfId="0" applyFont="1" applyFill="1" applyBorder="1" applyAlignment="1">
      <alignment horizontal="center" vertical="center"/>
    </xf>
    <xf numFmtId="0" fontId="0" fillId="4" borderId="12" xfId="0" applyFont="1" applyFill="1" applyBorder="1" applyAlignment="1">
      <alignment horizontal="center" vertical="center"/>
    </xf>
    <xf numFmtId="0" fontId="0" fillId="4" borderId="11" xfId="0" applyFont="1" applyFill="1" applyBorder="1" applyAlignment="1">
      <alignment horizontal="center" vertical="center"/>
    </xf>
    <xf numFmtId="49" fontId="22" fillId="4" borderId="7" xfId="0" applyNumberFormat="1" applyFont="1" applyFill="1" applyBorder="1" applyAlignment="1">
      <alignment horizontal="left" vertical="center" indent="1"/>
    </xf>
    <xf numFmtId="49" fontId="22" fillId="4" borderId="8" xfId="0" applyNumberFormat="1" applyFont="1" applyFill="1" applyBorder="1" applyAlignment="1">
      <alignment horizontal="left" vertical="center" indent="1"/>
    </xf>
    <xf numFmtId="49" fontId="22" fillId="4" borderId="5" xfId="0" applyNumberFormat="1" applyFont="1" applyFill="1" applyBorder="1" applyAlignment="1">
      <alignment horizontal="left" vertical="center" indent="1"/>
    </xf>
    <xf numFmtId="49" fontId="22" fillId="4" borderId="4" xfId="0" applyNumberFormat="1" applyFont="1" applyFill="1" applyBorder="1" applyAlignment="1">
      <alignment horizontal="left" vertical="center" indent="1"/>
    </xf>
    <xf numFmtId="49" fontId="22" fillId="4" borderId="3" xfId="0" applyNumberFormat="1" applyFont="1" applyFill="1" applyBorder="1" applyAlignment="1">
      <alignment horizontal="left" vertical="center" indent="1"/>
    </xf>
    <xf numFmtId="0" fontId="17" fillId="4" borderId="10" xfId="0" applyNumberFormat="1" applyFont="1" applyFill="1" applyBorder="1" applyAlignment="1">
      <alignment horizontal="left" vertical="center" indent="1"/>
    </xf>
    <xf numFmtId="0" fontId="17" fillId="4" borderId="14" xfId="0" applyNumberFormat="1" applyFont="1" applyFill="1" applyBorder="1" applyAlignment="1">
      <alignment horizontal="left" vertical="center" indent="1"/>
    </xf>
    <xf numFmtId="0" fontId="2" fillId="4" borderId="9"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3" fillId="4" borderId="0" xfId="0" applyFont="1" applyFill="1" applyBorder="1" applyAlignment="1">
      <alignment horizontal="left" vertical="center" indent="1"/>
    </xf>
    <xf numFmtId="0" fontId="23" fillId="4" borderId="15" xfId="0" applyFont="1" applyFill="1" applyBorder="1" applyAlignment="1">
      <alignment horizontal="left" vertical="center" indent="1"/>
    </xf>
    <xf numFmtId="0" fontId="23" fillId="4" borderId="10" xfId="0" applyFont="1" applyFill="1" applyBorder="1" applyAlignment="1">
      <alignment horizontal="left" vertical="center" indent="1"/>
    </xf>
    <xf numFmtId="0" fontId="23" fillId="4" borderId="14" xfId="0" applyFont="1" applyFill="1" applyBorder="1" applyAlignment="1">
      <alignment horizontal="left" vertical="center" indent="1"/>
    </xf>
    <xf numFmtId="0" fontId="2" fillId="4" borderId="5" xfId="0" applyFont="1" applyFill="1" applyBorder="1" applyAlignment="1">
      <alignment horizontal="center" vertical="center" wrapText="1"/>
    </xf>
    <xf numFmtId="0" fontId="0" fillId="0" borderId="3" xfId="0" applyBorder="1"/>
    <xf numFmtId="0" fontId="0" fillId="4" borderId="6" xfId="0" applyFont="1" applyFill="1" applyBorder="1" applyAlignment="1">
      <alignment horizontal="center" vertical="center"/>
    </xf>
    <xf numFmtId="0" fontId="0" fillId="4" borderId="9" xfId="0" applyFont="1" applyFill="1" applyBorder="1" applyAlignment="1">
      <alignment horizontal="center" vertical="center"/>
    </xf>
    <xf numFmtId="0" fontId="0" fillId="4" borderId="13" xfId="0" applyFont="1" applyFill="1" applyBorder="1" applyAlignment="1">
      <alignment horizontal="center" vertical="center"/>
    </xf>
    <xf numFmtId="49" fontId="22" fillId="4" borderId="6" xfId="0" applyNumberFormat="1" applyFont="1" applyFill="1" applyBorder="1" applyAlignment="1">
      <alignment horizontal="left" vertical="center" indent="1"/>
    </xf>
    <xf numFmtId="0" fontId="17" fillId="4" borderId="13" xfId="0" applyNumberFormat="1" applyFont="1" applyFill="1" applyBorder="1" applyAlignment="1">
      <alignment horizontal="left" vertical="center" indent="1"/>
    </xf>
    <xf numFmtId="0" fontId="2" fillId="0" borderId="0" xfId="0" applyFont="1" applyFill="1" applyBorder="1" applyAlignment="1">
      <alignment horizontal="center" vertical="center" wrapText="1"/>
    </xf>
    <xf numFmtId="0" fontId="2" fillId="0" borderId="5" xfId="0" applyFont="1" applyBorder="1" applyAlignment="1">
      <alignment horizontal="right" vertical="center"/>
    </xf>
    <xf numFmtId="0" fontId="0" fillId="0" borderId="0" xfId="0" applyBorder="1" applyAlignment="1">
      <alignment horizontal="right" vertical="center" indent="1"/>
    </xf>
    <xf numFmtId="0" fontId="17" fillId="4" borderId="9" xfId="0" applyFont="1" applyFill="1" applyBorder="1" applyAlignment="1">
      <alignment horizontal="left" vertical="top" wrapText="1" indent="1"/>
    </xf>
    <xf numFmtId="0" fontId="17" fillId="4" borderId="15" xfId="0" applyFont="1" applyFill="1" applyBorder="1" applyAlignment="1">
      <alignment horizontal="left" vertical="top" wrapText="1" indent="1"/>
    </xf>
    <xf numFmtId="0" fontId="41" fillId="4" borderId="0" xfId="0" applyFont="1" applyFill="1" applyBorder="1" applyAlignment="1">
      <alignment horizontal="left" vertical="top" wrapText="1"/>
    </xf>
    <xf numFmtId="0" fontId="35" fillId="4" borderId="0" xfId="0" applyFont="1" applyFill="1" applyBorder="1" applyAlignment="1">
      <alignment horizontal="left" vertical="center"/>
    </xf>
    <xf numFmtId="0" fontId="41" fillId="4" borderId="0" xfId="0" applyFont="1" applyFill="1" applyBorder="1" applyAlignment="1">
      <alignment horizontal="left" vertical="center" wrapText="1"/>
    </xf>
    <xf numFmtId="0" fontId="40" fillId="4" borderId="0" xfId="0" applyFont="1" applyFill="1" applyBorder="1" applyAlignment="1">
      <alignment horizontal="left" vertical="center" wrapText="1" indent="1"/>
    </xf>
    <xf numFmtId="0" fontId="40" fillId="0" borderId="0" xfId="0" applyFont="1" applyAlignment="1">
      <alignment horizontal="left" vertical="top" wrapText="1" indent="1"/>
    </xf>
    <xf numFmtId="0" fontId="23" fillId="0" borderId="0" xfId="0" applyFont="1" applyFill="1" applyBorder="1" applyAlignment="1">
      <alignment horizontal="left" vertical="center" wrapText="1"/>
    </xf>
    <xf numFmtId="0" fontId="17" fillId="0" borderId="0" xfId="0" applyFont="1" applyFill="1" applyBorder="1" applyAlignment="1">
      <alignment horizontal="center" vertical="center"/>
    </xf>
    <xf numFmtId="0" fontId="1" fillId="8" borderId="5"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3" xfId="0" applyFont="1" applyFill="1" applyBorder="1" applyAlignment="1">
      <alignment horizontal="center" vertical="center"/>
    </xf>
    <xf numFmtId="0" fontId="66" fillId="0" borderId="0" xfId="0" applyFont="1" applyBorder="1" applyAlignment="1">
      <alignment horizontal="center" vertical="center" wrapText="1"/>
    </xf>
    <xf numFmtId="0" fontId="0" fillId="17" borderId="10" xfId="0" applyFont="1" applyFill="1" applyBorder="1" applyAlignment="1">
      <alignment horizontal="center"/>
    </xf>
    <xf numFmtId="0" fontId="0" fillId="17" borderId="14" xfId="0" applyFont="1" applyFill="1" applyBorder="1" applyAlignment="1">
      <alignment horizontal="center"/>
    </xf>
    <xf numFmtId="0" fontId="22" fillId="0" borderId="0" xfId="0" applyFont="1" applyFill="1" applyBorder="1" applyAlignment="1">
      <alignment horizontal="center" vertical="center"/>
    </xf>
    <xf numFmtId="49" fontId="22" fillId="0" borderId="0" xfId="0" applyNumberFormat="1" applyFont="1" applyFill="1" applyBorder="1" applyAlignment="1">
      <alignment horizontal="center" vertical="center"/>
    </xf>
    <xf numFmtId="0" fontId="5" fillId="3" borderId="11" xfId="0" applyFont="1" applyFill="1" applyBorder="1" applyAlignment="1">
      <alignment horizontal="center" wrapText="1"/>
    </xf>
    <xf numFmtId="1" fontId="2" fillId="3" borderId="1" xfId="0" applyNumberFormat="1" applyFont="1" applyFill="1" applyBorder="1" applyAlignment="1">
      <alignment horizontal="center" wrapText="1"/>
    </xf>
    <xf numFmtId="1" fontId="2" fillId="3" borderId="12" xfId="0" applyNumberFormat="1" applyFont="1" applyFill="1" applyBorder="1" applyAlignment="1">
      <alignment horizontal="center" wrapText="1"/>
    </xf>
    <xf numFmtId="0" fontId="2" fillId="3" borderId="1" xfId="0" applyFont="1" applyFill="1" applyBorder="1" applyAlignment="1">
      <alignment horizontal="center"/>
    </xf>
    <xf numFmtId="0" fontId="2" fillId="3" borderId="12" xfId="0" applyFont="1" applyFill="1" applyBorder="1" applyAlignment="1">
      <alignment horizontal="center"/>
    </xf>
    <xf numFmtId="0" fontId="2" fillId="3" borderId="11" xfId="0" applyFont="1" applyFill="1" applyBorder="1" applyAlignment="1">
      <alignment horizontal="center" wrapText="1"/>
    </xf>
    <xf numFmtId="0" fontId="2" fillId="3" borderId="2" xfId="0" applyFont="1" applyFill="1" applyBorder="1" applyAlignment="1">
      <alignment horizontal="center" wrapText="1"/>
    </xf>
    <xf numFmtId="0" fontId="2" fillId="3" borderId="1" xfId="0" applyFont="1" applyFill="1" applyBorder="1" applyAlignment="1">
      <alignment horizontal="center" wrapText="1"/>
    </xf>
    <xf numFmtId="0" fontId="2" fillId="3" borderId="12" xfId="0" applyFont="1" applyFill="1" applyBorder="1" applyAlignment="1">
      <alignment horizontal="center" wrapText="1"/>
    </xf>
    <xf numFmtId="0" fontId="2" fillId="3" borderId="11" xfId="0" applyFont="1" applyFill="1" applyBorder="1" applyAlignment="1">
      <alignment horizontal="center"/>
    </xf>
    <xf numFmtId="0" fontId="2" fillId="3" borderId="2" xfId="0" applyFont="1" applyFill="1" applyBorder="1" applyAlignment="1">
      <alignment horizontal="center"/>
    </xf>
    <xf numFmtId="0" fontId="2" fillId="3" borderId="9" xfId="0" applyFont="1" applyFill="1" applyBorder="1" applyAlignment="1">
      <alignment horizontal="center"/>
    </xf>
    <xf numFmtId="0" fontId="2" fillId="3" borderId="0" xfId="0" applyFont="1" applyFill="1" applyBorder="1" applyAlignment="1">
      <alignment horizontal="center"/>
    </xf>
    <xf numFmtId="0" fontId="2" fillId="3" borderId="15" xfId="0" applyFont="1" applyFill="1" applyBorder="1" applyAlignment="1">
      <alignment horizontal="center"/>
    </xf>
    <xf numFmtId="0" fontId="2" fillId="3" borderId="13" xfId="0" applyFont="1" applyFill="1" applyBorder="1" applyAlignment="1">
      <alignment horizontal="center"/>
    </xf>
    <xf numFmtId="0" fontId="2" fillId="3" borderId="10" xfId="0" applyFont="1" applyFill="1" applyBorder="1" applyAlignment="1">
      <alignment horizontal="center"/>
    </xf>
    <xf numFmtId="0" fontId="2" fillId="3" borderId="14" xfId="0" applyFont="1" applyFill="1" applyBorder="1" applyAlignment="1">
      <alignment horizontal="center"/>
    </xf>
    <xf numFmtId="0" fontId="4" fillId="3" borderId="12" xfId="0" applyFont="1" applyFill="1" applyBorder="1" applyAlignment="1">
      <alignment horizontal="center" wrapText="1"/>
    </xf>
    <xf numFmtId="0" fontId="5" fillId="3" borderId="12" xfId="0" applyFont="1" applyFill="1" applyBorder="1" applyAlignment="1">
      <alignment horizontal="center" wrapText="1"/>
    </xf>
    <xf numFmtId="0" fontId="0" fillId="4" borderId="0" xfId="0" applyFont="1" applyFill="1" applyBorder="1" applyAlignment="1">
      <alignment horizontal="center" vertical="center"/>
    </xf>
    <xf numFmtId="0" fontId="0" fillId="4" borderId="15" xfId="0" applyFont="1" applyFill="1" applyBorder="1" applyAlignment="1">
      <alignment horizontal="center" vertical="center"/>
    </xf>
    <xf numFmtId="0" fontId="0" fillId="4" borderId="10" xfId="0" applyFont="1" applyFill="1" applyBorder="1" applyAlignment="1">
      <alignment horizontal="center" vertical="center"/>
    </xf>
    <xf numFmtId="0" fontId="0" fillId="4" borderId="14" xfId="0" applyFont="1" applyFill="1" applyBorder="1" applyAlignment="1">
      <alignment horizontal="center" vertical="center"/>
    </xf>
    <xf numFmtId="49" fontId="2" fillId="0" borderId="0" xfId="0" applyNumberFormat="1" applyFont="1" applyFill="1" applyBorder="1" applyAlignment="1">
      <alignment horizontal="center" vertical="center"/>
    </xf>
  </cellXfs>
  <cellStyles count="3">
    <cellStyle name="Hyperlink" xfId="1" builtinId="8"/>
    <cellStyle name="Hyperlink 2" xfId="2" xr:uid="{00000000-0005-0000-0000-000001000000}"/>
    <cellStyle name="Normal" xfId="0" builtinId="0"/>
  </cellStyles>
  <dxfs count="44">
    <dxf>
      <font>
        <condense val="0"/>
        <extend val="0"/>
        <color rgb="FF9C0006"/>
      </font>
      <fill>
        <patternFill>
          <bgColor rgb="FFFFC7CE"/>
        </patternFill>
      </fill>
    </dxf>
    <dxf>
      <font>
        <b/>
        <i val="0"/>
        <color theme="0"/>
      </font>
      <fill>
        <patternFill>
          <bgColor rgb="FF002060"/>
        </patternFill>
      </fill>
    </dxf>
    <dxf>
      <font>
        <b/>
        <i val="0"/>
        <color rgb="FFC00000"/>
      </font>
      <fill>
        <patternFill>
          <bgColor theme="0"/>
        </patternFill>
      </fill>
    </dxf>
    <dxf>
      <font>
        <b val="0"/>
        <i val="0"/>
        <color theme="1" tint="0.34998626667073579"/>
      </font>
    </dxf>
    <dxf>
      <font>
        <b/>
        <i val="0"/>
        <color theme="0"/>
      </font>
      <fill>
        <patternFill>
          <bgColor rgb="FF002060"/>
        </patternFill>
      </fill>
    </dxf>
    <dxf>
      <font>
        <b/>
        <i val="0"/>
        <color theme="0"/>
      </font>
      <fill>
        <patternFill>
          <bgColor rgb="FF00B050"/>
        </patternFill>
      </fill>
    </dxf>
    <dxf>
      <font>
        <b/>
        <i val="0"/>
        <color theme="0"/>
      </font>
      <fill>
        <patternFill>
          <bgColor rgb="FF0000CC"/>
        </patternFill>
      </fill>
    </dxf>
    <dxf>
      <border>
        <left/>
        <right/>
        <top/>
        <bottom/>
        <vertical/>
        <horizontal/>
      </border>
    </dxf>
    <dxf>
      <font>
        <color theme="0"/>
      </font>
      <fill>
        <patternFill>
          <bgColor theme="0"/>
        </patternFill>
      </fill>
      <border>
        <left/>
        <right/>
        <top/>
        <bottom/>
        <vertical/>
        <horizontal/>
      </border>
    </dxf>
    <dxf>
      <font>
        <condense val="0"/>
        <extend val="0"/>
        <color rgb="FF9C0006"/>
      </font>
      <fill>
        <patternFill>
          <bgColor rgb="FFFFC7CE"/>
        </patternFill>
      </fill>
    </dxf>
    <dxf>
      <font>
        <condense val="0"/>
        <extend val="0"/>
        <color rgb="FF9C0006"/>
      </font>
      <fill>
        <patternFill>
          <bgColor rgb="FFFFC7CE"/>
        </patternFill>
      </fill>
    </dxf>
    <dxf>
      <font>
        <b/>
        <i val="0"/>
        <color rgb="FFC00000"/>
      </font>
      <fill>
        <patternFill>
          <bgColor theme="0"/>
        </patternFill>
      </fill>
    </dxf>
    <dxf>
      <font>
        <condense val="0"/>
        <extend val="0"/>
        <color rgb="FF9C0006"/>
      </font>
      <fill>
        <patternFill>
          <bgColor rgb="FFFFC7CE"/>
        </patternFill>
      </fill>
    </dxf>
    <dxf>
      <font>
        <b/>
        <i val="0"/>
        <color rgb="FFFF0000"/>
      </font>
    </dxf>
    <dxf>
      <fill>
        <patternFill>
          <bgColor theme="1" tint="0.499984740745262"/>
        </patternFill>
      </fill>
    </dxf>
    <dxf>
      <font>
        <b/>
        <i val="0"/>
        <color theme="0"/>
      </font>
      <fill>
        <patternFill>
          <bgColor rgb="FFC00000"/>
        </patternFill>
      </fill>
    </dxf>
    <dxf>
      <fill>
        <patternFill>
          <bgColor theme="6" tint="0.39994506668294322"/>
        </patternFill>
      </fill>
    </dxf>
    <dxf>
      <font>
        <condense val="0"/>
        <extend val="0"/>
        <color rgb="FF9C0006"/>
      </font>
      <fill>
        <patternFill>
          <bgColor rgb="FFFFC7CE"/>
        </patternFill>
      </fill>
    </dxf>
    <dxf>
      <font>
        <color theme="0"/>
      </font>
      <fill>
        <patternFill>
          <bgColor rgb="FFC00000"/>
        </patternFill>
      </fill>
    </dxf>
    <dxf>
      <font>
        <color theme="0"/>
      </font>
    </dxf>
    <dxf>
      <font>
        <condense val="0"/>
        <extend val="0"/>
        <color rgb="FF9C0006"/>
      </font>
      <fill>
        <patternFill>
          <bgColor rgb="FFFFC7CE"/>
        </patternFill>
      </fill>
    </dxf>
    <dxf>
      <font>
        <condense val="0"/>
        <extend val="0"/>
        <color rgb="FF9C0006"/>
      </font>
      <fill>
        <patternFill>
          <bgColor rgb="FFFFC7CE"/>
        </patternFill>
      </fill>
    </dxf>
    <dxf>
      <font>
        <b/>
        <i val="0"/>
        <color auto="1"/>
      </font>
    </dxf>
    <dxf>
      <font>
        <b/>
        <i val="0"/>
        <color theme="0"/>
      </font>
      <fill>
        <patternFill>
          <bgColor rgb="FFC00000"/>
        </patternFill>
      </fill>
    </dxf>
    <dxf>
      <font>
        <condense val="0"/>
        <extend val="0"/>
        <color rgb="FF9C0006"/>
      </font>
      <fill>
        <patternFill>
          <bgColor rgb="FFFFC7CE"/>
        </patternFill>
      </fill>
    </dxf>
    <dxf>
      <font>
        <condense val="0"/>
        <extend val="0"/>
        <color rgb="FF9C0006"/>
      </font>
      <fill>
        <patternFill>
          <bgColor rgb="FFFFC7CE"/>
        </patternFill>
      </fill>
    </dxf>
    <dxf>
      <font>
        <b/>
        <i val="0"/>
        <color rgb="FF0000CC"/>
      </font>
    </dxf>
    <dxf>
      <font>
        <b/>
        <i val="0"/>
      </font>
      <fill>
        <patternFill>
          <bgColor theme="6" tint="0.39994506668294322"/>
        </patternFill>
      </fill>
    </dxf>
    <dxf>
      <font>
        <color theme="0"/>
      </font>
      <fill>
        <patternFill>
          <bgColor theme="0"/>
        </patternFill>
      </fill>
    </dxf>
    <dxf>
      <border>
        <left/>
        <right/>
        <top/>
        <bottom/>
        <vertical/>
        <horizontal/>
      </border>
    </dxf>
    <dxf>
      <font>
        <color theme="0"/>
      </font>
      <fill>
        <patternFill>
          <bgColor theme="0"/>
        </patternFill>
      </fill>
      <border>
        <left/>
        <right/>
        <top/>
        <bottom/>
        <vertical/>
        <horizontal/>
      </border>
    </dxf>
    <dxf>
      <font>
        <b/>
        <i val="0"/>
        <color rgb="FFC00000"/>
      </font>
      <fill>
        <patternFill>
          <bgColor theme="0"/>
        </patternFill>
      </fill>
    </dxf>
    <dxf>
      <font>
        <b/>
        <i val="0"/>
        <color rgb="FFFF0000"/>
      </font>
    </dxf>
    <dxf>
      <font>
        <b/>
        <i val="0"/>
        <color theme="0"/>
      </font>
      <fill>
        <patternFill>
          <bgColor rgb="FFC00000"/>
        </patternFill>
      </fill>
    </dxf>
    <dxf>
      <font>
        <color theme="0"/>
      </font>
      <fill>
        <patternFill>
          <bgColor rgb="FFC00000"/>
        </patternFill>
      </fill>
    </dxf>
    <dxf>
      <font>
        <color theme="0"/>
      </font>
    </dxf>
    <dxf>
      <font>
        <b/>
        <i val="0"/>
        <color auto="1"/>
      </font>
    </dxf>
    <dxf>
      <font>
        <b/>
        <i val="0"/>
        <color theme="0"/>
      </font>
      <fill>
        <patternFill>
          <bgColor rgb="FFC00000"/>
        </patternFill>
      </fill>
    </dxf>
    <dxf>
      <font>
        <color theme="0"/>
      </font>
      <fill>
        <patternFill>
          <bgColor theme="0"/>
        </patternFill>
      </fill>
    </dxf>
    <dxf>
      <font>
        <color theme="0"/>
      </font>
    </dxf>
    <dxf>
      <fill>
        <patternFill>
          <bgColor theme="0"/>
        </patternFill>
      </fill>
    </dxf>
    <dxf>
      <border>
        <left/>
        <right/>
        <top/>
        <bottom/>
        <vertical/>
        <horizontal/>
      </border>
    </dxf>
    <dxf>
      <border>
        <left/>
        <right/>
        <top/>
        <bottom/>
        <vertical/>
        <horizontal/>
      </border>
    </dxf>
    <dxf>
      <border>
        <left/>
        <right/>
        <top/>
        <bottom/>
        <vertical/>
        <horizontal/>
      </border>
    </dxf>
  </dxfs>
  <tableStyles count="0" defaultTableStyle="TableStyleMedium9" defaultPivotStyle="PivotStyleLight16"/>
  <colors>
    <mruColors>
      <color rgb="FFFFFF99"/>
      <color rgb="FF0000CC"/>
      <color rgb="FFFFFFCC"/>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marker>
            <c:symbol val="circle"/>
            <c:size val="4"/>
            <c:spPr>
              <a:solidFill>
                <a:schemeClr val="tx1"/>
              </a:solidFill>
              <a:ln>
                <a:solidFill>
                  <a:schemeClr val="tx1"/>
                </a:solidFill>
              </a:ln>
            </c:spPr>
          </c:marker>
          <c:trendline>
            <c:trendlineType val="linear"/>
            <c:dispRSqr val="1"/>
            <c:dispEq val="1"/>
            <c:trendlineLbl>
              <c:layout>
                <c:manualLayout>
                  <c:x val="1.1771653543307095E-2"/>
                  <c:y val="-0.38302198561212253"/>
                </c:manualLayout>
              </c:layout>
              <c:numFmt formatCode="General" sourceLinked="0"/>
            </c:trendlineLbl>
          </c:trendline>
          <c:xVal>
            <c:numRef>
              <c:f>Sheet2!$M$3:$M$114</c:f>
              <c:numCache>
                <c:formatCode>General</c:formatCode>
                <c:ptCount val="112"/>
                <c:pt idx="0">
                  <c:v>8</c:v>
                </c:pt>
                <c:pt idx="1">
                  <c:v>1</c:v>
                </c:pt>
                <c:pt idx="2">
                  <c:v>28</c:v>
                </c:pt>
                <c:pt idx="3">
                  <c:v>14</c:v>
                </c:pt>
                <c:pt idx="4">
                  <c:v>14</c:v>
                </c:pt>
                <c:pt idx="5">
                  <c:v>11</c:v>
                </c:pt>
                <c:pt idx="6">
                  <c:v>12</c:v>
                </c:pt>
                <c:pt idx="7">
                  <c:v>25</c:v>
                </c:pt>
                <c:pt idx="8">
                  <c:v>35</c:v>
                </c:pt>
                <c:pt idx="9">
                  <c:v>14</c:v>
                </c:pt>
                <c:pt idx="10">
                  <c:v>9</c:v>
                </c:pt>
                <c:pt idx="11">
                  <c:v>8</c:v>
                </c:pt>
                <c:pt idx="12">
                  <c:v>35</c:v>
                </c:pt>
                <c:pt idx="13">
                  <c:v>13</c:v>
                </c:pt>
                <c:pt idx="14">
                  <c:v>27</c:v>
                </c:pt>
                <c:pt idx="15">
                  <c:v>14</c:v>
                </c:pt>
                <c:pt idx="16">
                  <c:v>11</c:v>
                </c:pt>
                <c:pt idx="17">
                  <c:v>8</c:v>
                </c:pt>
                <c:pt idx="18">
                  <c:v>11</c:v>
                </c:pt>
                <c:pt idx="19">
                  <c:v>22</c:v>
                </c:pt>
                <c:pt idx="20">
                  <c:v>13</c:v>
                </c:pt>
                <c:pt idx="21">
                  <c:v>25</c:v>
                </c:pt>
                <c:pt idx="22">
                  <c:v>27</c:v>
                </c:pt>
                <c:pt idx="23">
                  <c:v>24</c:v>
                </c:pt>
                <c:pt idx="24">
                  <c:v>9</c:v>
                </c:pt>
                <c:pt idx="25">
                  <c:v>36</c:v>
                </c:pt>
                <c:pt idx="26">
                  <c:v>25</c:v>
                </c:pt>
                <c:pt idx="27">
                  <c:v>20</c:v>
                </c:pt>
                <c:pt idx="28">
                  <c:v>15</c:v>
                </c:pt>
                <c:pt idx="29">
                  <c:v>9</c:v>
                </c:pt>
                <c:pt idx="30">
                  <c:v>9</c:v>
                </c:pt>
                <c:pt idx="31">
                  <c:v>9</c:v>
                </c:pt>
                <c:pt idx="32">
                  <c:v>30</c:v>
                </c:pt>
                <c:pt idx="33">
                  <c:v>22</c:v>
                </c:pt>
                <c:pt idx="34">
                  <c:v>8</c:v>
                </c:pt>
                <c:pt idx="35">
                  <c:v>28</c:v>
                </c:pt>
                <c:pt idx="36">
                  <c:v>9</c:v>
                </c:pt>
                <c:pt idx="37">
                  <c:v>11</c:v>
                </c:pt>
                <c:pt idx="38">
                  <c:v>11</c:v>
                </c:pt>
                <c:pt idx="39">
                  <c:v>28</c:v>
                </c:pt>
                <c:pt idx="40">
                  <c:v>35</c:v>
                </c:pt>
                <c:pt idx="41">
                  <c:v>5</c:v>
                </c:pt>
                <c:pt idx="42">
                  <c:v>21</c:v>
                </c:pt>
                <c:pt idx="43">
                  <c:v>13</c:v>
                </c:pt>
                <c:pt idx="44">
                  <c:v>29</c:v>
                </c:pt>
                <c:pt idx="45">
                  <c:v>24</c:v>
                </c:pt>
                <c:pt idx="46">
                  <c:v>13</c:v>
                </c:pt>
                <c:pt idx="47">
                  <c:v>11</c:v>
                </c:pt>
                <c:pt idx="48">
                  <c:v>9</c:v>
                </c:pt>
                <c:pt idx="49">
                  <c:v>1</c:v>
                </c:pt>
                <c:pt idx="50">
                  <c:v>21</c:v>
                </c:pt>
                <c:pt idx="51">
                  <c:v>11</c:v>
                </c:pt>
                <c:pt idx="52">
                  <c:v>26</c:v>
                </c:pt>
                <c:pt idx="53">
                  <c:v>14</c:v>
                </c:pt>
                <c:pt idx="54">
                  <c:v>11</c:v>
                </c:pt>
                <c:pt idx="55">
                  <c:v>35</c:v>
                </c:pt>
                <c:pt idx="56">
                  <c:v>13</c:v>
                </c:pt>
                <c:pt idx="57">
                  <c:v>11</c:v>
                </c:pt>
                <c:pt idx="58">
                  <c:v>14</c:v>
                </c:pt>
                <c:pt idx="59">
                  <c:v>29</c:v>
                </c:pt>
                <c:pt idx="60">
                  <c:v>7</c:v>
                </c:pt>
                <c:pt idx="61">
                  <c:v>4</c:v>
                </c:pt>
                <c:pt idx="62">
                  <c:v>14</c:v>
                </c:pt>
                <c:pt idx="63">
                  <c:v>6</c:v>
                </c:pt>
                <c:pt idx="64">
                  <c:v>9</c:v>
                </c:pt>
                <c:pt idx="65">
                  <c:v>9</c:v>
                </c:pt>
                <c:pt idx="66">
                  <c:v>35</c:v>
                </c:pt>
                <c:pt idx="67">
                  <c:v>14</c:v>
                </c:pt>
                <c:pt idx="68">
                  <c:v>18</c:v>
                </c:pt>
                <c:pt idx="69">
                  <c:v>3</c:v>
                </c:pt>
                <c:pt idx="70">
                  <c:v>32</c:v>
                </c:pt>
                <c:pt idx="71">
                  <c:v>22</c:v>
                </c:pt>
                <c:pt idx="72">
                  <c:v>2</c:v>
                </c:pt>
                <c:pt idx="73">
                  <c:v>15</c:v>
                </c:pt>
                <c:pt idx="74">
                  <c:v>2</c:v>
                </c:pt>
                <c:pt idx="75">
                  <c:v>13</c:v>
                </c:pt>
                <c:pt idx="76">
                  <c:v>33</c:v>
                </c:pt>
                <c:pt idx="77">
                  <c:v>11</c:v>
                </c:pt>
                <c:pt idx="78">
                  <c:v>6</c:v>
                </c:pt>
                <c:pt idx="79">
                  <c:v>31</c:v>
                </c:pt>
                <c:pt idx="80">
                  <c:v>11</c:v>
                </c:pt>
                <c:pt idx="81">
                  <c:v>26</c:v>
                </c:pt>
                <c:pt idx="82">
                  <c:v>11</c:v>
                </c:pt>
                <c:pt idx="83">
                  <c:v>26</c:v>
                </c:pt>
                <c:pt idx="84">
                  <c:v>6</c:v>
                </c:pt>
                <c:pt idx="85">
                  <c:v>25</c:v>
                </c:pt>
                <c:pt idx="86">
                  <c:v>28</c:v>
                </c:pt>
                <c:pt idx="87">
                  <c:v>11</c:v>
                </c:pt>
                <c:pt idx="88">
                  <c:v>8</c:v>
                </c:pt>
                <c:pt idx="89">
                  <c:v>36</c:v>
                </c:pt>
                <c:pt idx="90">
                  <c:v>13</c:v>
                </c:pt>
                <c:pt idx="91">
                  <c:v>16</c:v>
                </c:pt>
                <c:pt idx="92">
                  <c:v>9</c:v>
                </c:pt>
                <c:pt idx="93">
                  <c:v>27</c:v>
                </c:pt>
                <c:pt idx="94">
                  <c:v>10</c:v>
                </c:pt>
                <c:pt idx="95">
                  <c:v>9</c:v>
                </c:pt>
                <c:pt idx="96">
                  <c:v>7</c:v>
                </c:pt>
                <c:pt idx="97">
                  <c:v>25</c:v>
                </c:pt>
                <c:pt idx="98">
                  <c:v>24</c:v>
                </c:pt>
                <c:pt idx="99">
                  <c:v>35</c:v>
                </c:pt>
                <c:pt idx="100">
                  <c:v>14</c:v>
                </c:pt>
                <c:pt idx="101">
                  <c:v>13</c:v>
                </c:pt>
                <c:pt idx="102">
                  <c:v>26</c:v>
                </c:pt>
                <c:pt idx="103">
                  <c:v>23</c:v>
                </c:pt>
                <c:pt idx="104">
                  <c:v>35</c:v>
                </c:pt>
                <c:pt idx="105">
                  <c:v>17</c:v>
                </c:pt>
                <c:pt idx="106">
                  <c:v>19</c:v>
                </c:pt>
                <c:pt idx="107">
                  <c:v>28</c:v>
                </c:pt>
                <c:pt idx="108">
                  <c:v>34</c:v>
                </c:pt>
                <c:pt idx="109">
                  <c:v>35</c:v>
                </c:pt>
                <c:pt idx="110">
                  <c:v>9</c:v>
                </c:pt>
                <c:pt idx="111">
                  <c:v>8</c:v>
                </c:pt>
              </c:numCache>
            </c:numRef>
          </c:xVal>
          <c:yVal>
            <c:numRef>
              <c:f>Sheet2!$N$3:$N$114</c:f>
              <c:numCache>
                <c:formatCode>0.00</c:formatCode>
                <c:ptCount val="112"/>
                <c:pt idx="0">
                  <c:v>65.8</c:v>
                </c:pt>
                <c:pt idx="1">
                  <c:v>69</c:v>
                </c:pt>
                <c:pt idx="2">
                  <c:v>74</c:v>
                </c:pt>
                <c:pt idx="3">
                  <c:v>66.099999999999994</c:v>
                </c:pt>
                <c:pt idx="4">
                  <c:v>84.4</c:v>
                </c:pt>
                <c:pt idx="5">
                  <c:v>71.400000000000006</c:v>
                </c:pt>
                <c:pt idx="6">
                  <c:v>88.3</c:v>
                </c:pt>
                <c:pt idx="7">
                  <c:v>78.8</c:v>
                </c:pt>
                <c:pt idx="8">
                  <c:v>63.9</c:v>
                </c:pt>
                <c:pt idx="9">
                  <c:v>86.6</c:v>
                </c:pt>
                <c:pt idx="10">
                  <c:v>71.599999999999994</c:v>
                </c:pt>
                <c:pt idx="11">
                  <c:v>69</c:v>
                </c:pt>
                <c:pt idx="12">
                  <c:v>60.8</c:v>
                </c:pt>
                <c:pt idx="13">
                  <c:v>76.400000000000006</c:v>
                </c:pt>
                <c:pt idx="14">
                  <c:v>80.2</c:v>
                </c:pt>
                <c:pt idx="15">
                  <c:v>72.2</c:v>
                </c:pt>
                <c:pt idx="16">
                  <c:v>75.7</c:v>
                </c:pt>
                <c:pt idx="17">
                  <c:v>69.7</c:v>
                </c:pt>
                <c:pt idx="18">
                  <c:v>60.4</c:v>
                </c:pt>
                <c:pt idx="19">
                  <c:v>68.8</c:v>
                </c:pt>
                <c:pt idx="20">
                  <c:v>83.3</c:v>
                </c:pt>
                <c:pt idx="21">
                  <c:v>67.400000000000006</c:v>
                </c:pt>
                <c:pt idx="22">
                  <c:v>71.8</c:v>
                </c:pt>
                <c:pt idx="23">
                  <c:v>69.7</c:v>
                </c:pt>
                <c:pt idx="24">
                  <c:v>73.099999999999994</c:v>
                </c:pt>
                <c:pt idx="25">
                  <c:v>76.099999999999994</c:v>
                </c:pt>
                <c:pt idx="26">
                  <c:v>67.400000000000006</c:v>
                </c:pt>
                <c:pt idx="27">
                  <c:v>75.099999999999994</c:v>
                </c:pt>
                <c:pt idx="28">
                  <c:v>65.7</c:v>
                </c:pt>
                <c:pt idx="29">
                  <c:v>78.900000000000006</c:v>
                </c:pt>
                <c:pt idx="30">
                  <c:v>92.1</c:v>
                </c:pt>
                <c:pt idx="31">
                  <c:v>87.2</c:v>
                </c:pt>
                <c:pt idx="32">
                  <c:v>68.099999999999994</c:v>
                </c:pt>
                <c:pt idx="33">
                  <c:v>74</c:v>
                </c:pt>
                <c:pt idx="34">
                  <c:v>89.5</c:v>
                </c:pt>
                <c:pt idx="35">
                  <c:v>75.7</c:v>
                </c:pt>
                <c:pt idx="36">
                  <c:v>74.5</c:v>
                </c:pt>
                <c:pt idx="37">
                  <c:v>87.9</c:v>
                </c:pt>
                <c:pt idx="38">
                  <c:v>78</c:v>
                </c:pt>
                <c:pt idx="39">
                  <c:v>79.900000000000006</c:v>
                </c:pt>
                <c:pt idx="40">
                  <c:v>71.3</c:v>
                </c:pt>
                <c:pt idx="41">
                  <c:v>81.900000000000006</c:v>
                </c:pt>
                <c:pt idx="42">
                  <c:v>77</c:v>
                </c:pt>
                <c:pt idx="43">
                  <c:v>74.400000000000006</c:v>
                </c:pt>
                <c:pt idx="44">
                  <c:v>64.900000000000006</c:v>
                </c:pt>
                <c:pt idx="45">
                  <c:v>74.599999999999994</c:v>
                </c:pt>
                <c:pt idx="46">
                  <c:v>70.400000000000006</c:v>
                </c:pt>
                <c:pt idx="47">
                  <c:v>74.2</c:v>
                </c:pt>
                <c:pt idx="48">
                  <c:v>79.099999999999994</c:v>
                </c:pt>
                <c:pt idx="49">
                  <c:v>86.7</c:v>
                </c:pt>
                <c:pt idx="50">
                  <c:v>72.5</c:v>
                </c:pt>
                <c:pt idx="51">
                  <c:v>79.900000000000006</c:v>
                </c:pt>
                <c:pt idx="52">
                  <c:v>70.3</c:v>
                </c:pt>
                <c:pt idx="53">
                  <c:v>79.3</c:v>
                </c:pt>
                <c:pt idx="54">
                  <c:v>78.400000000000006</c:v>
                </c:pt>
                <c:pt idx="55">
                  <c:v>75.099999999999994</c:v>
                </c:pt>
                <c:pt idx="56">
                  <c:v>80.599999999999994</c:v>
                </c:pt>
                <c:pt idx="57">
                  <c:v>68</c:v>
                </c:pt>
                <c:pt idx="58">
                  <c:v>73.8</c:v>
                </c:pt>
                <c:pt idx="59">
                  <c:v>60.8</c:v>
                </c:pt>
                <c:pt idx="60">
                  <c:v>69.5</c:v>
                </c:pt>
                <c:pt idx="61">
                  <c:v>90.5</c:v>
                </c:pt>
                <c:pt idx="62">
                  <c:v>73.2</c:v>
                </c:pt>
                <c:pt idx="63">
                  <c:v>67.2</c:v>
                </c:pt>
                <c:pt idx="64">
                  <c:v>60.9</c:v>
                </c:pt>
                <c:pt idx="65">
                  <c:v>68</c:v>
                </c:pt>
                <c:pt idx="66">
                  <c:v>74.400000000000006</c:v>
                </c:pt>
                <c:pt idx="67">
                  <c:v>71.8</c:v>
                </c:pt>
                <c:pt idx="68">
                  <c:v>75.7</c:v>
                </c:pt>
                <c:pt idx="69">
                  <c:v>70.900000000000006</c:v>
                </c:pt>
                <c:pt idx="70">
                  <c:v>77.099999999999994</c:v>
                </c:pt>
                <c:pt idx="71">
                  <c:v>75</c:v>
                </c:pt>
                <c:pt idx="72">
                  <c:v>84</c:v>
                </c:pt>
                <c:pt idx="73">
                  <c:v>79</c:v>
                </c:pt>
                <c:pt idx="74">
                  <c:v>83.2</c:v>
                </c:pt>
                <c:pt idx="75">
                  <c:v>63.5</c:v>
                </c:pt>
                <c:pt idx="76">
                  <c:v>63.9</c:v>
                </c:pt>
                <c:pt idx="77">
                  <c:v>81.7</c:v>
                </c:pt>
                <c:pt idx="78">
                  <c:v>69.900000000000006</c:v>
                </c:pt>
                <c:pt idx="79">
                  <c:v>68.7</c:v>
                </c:pt>
                <c:pt idx="80">
                  <c:v>82.6</c:v>
                </c:pt>
                <c:pt idx="81">
                  <c:v>73.7</c:v>
                </c:pt>
                <c:pt idx="82">
                  <c:v>81.5</c:v>
                </c:pt>
                <c:pt idx="83">
                  <c:v>74.7</c:v>
                </c:pt>
                <c:pt idx="84">
                  <c:v>81.7</c:v>
                </c:pt>
                <c:pt idx="85">
                  <c:v>71.3</c:v>
                </c:pt>
                <c:pt idx="86">
                  <c:v>67.3</c:v>
                </c:pt>
                <c:pt idx="87">
                  <c:v>84.9</c:v>
                </c:pt>
                <c:pt idx="88">
                  <c:v>89.8</c:v>
                </c:pt>
                <c:pt idx="89">
                  <c:v>75.3</c:v>
                </c:pt>
                <c:pt idx="90">
                  <c:v>72.3</c:v>
                </c:pt>
                <c:pt idx="91">
                  <c:v>76.3</c:v>
                </c:pt>
                <c:pt idx="92">
                  <c:v>66.8</c:v>
                </c:pt>
                <c:pt idx="93">
                  <c:v>64.7</c:v>
                </c:pt>
                <c:pt idx="94">
                  <c:v>85</c:v>
                </c:pt>
                <c:pt idx="95">
                  <c:v>75.599999999999994</c:v>
                </c:pt>
                <c:pt idx="96">
                  <c:v>78</c:v>
                </c:pt>
                <c:pt idx="97">
                  <c:v>68</c:v>
                </c:pt>
                <c:pt idx="98">
                  <c:v>72.900000000000006</c:v>
                </c:pt>
                <c:pt idx="99">
                  <c:v>71.3</c:v>
                </c:pt>
                <c:pt idx="100">
                  <c:v>75.099999999999994</c:v>
                </c:pt>
                <c:pt idx="101">
                  <c:v>76</c:v>
                </c:pt>
                <c:pt idx="102">
                  <c:v>75.400000000000006</c:v>
                </c:pt>
                <c:pt idx="103">
                  <c:v>74.3</c:v>
                </c:pt>
                <c:pt idx="104">
                  <c:v>71.3</c:v>
                </c:pt>
                <c:pt idx="105">
                  <c:v>70.5</c:v>
                </c:pt>
                <c:pt idx="106">
                  <c:v>76.400000000000006</c:v>
                </c:pt>
                <c:pt idx="107">
                  <c:v>66.2</c:v>
                </c:pt>
                <c:pt idx="108">
                  <c:v>67.099999999999994</c:v>
                </c:pt>
                <c:pt idx="109">
                  <c:v>70.400000000000006</c:v>
                </c:pt>
                <c:pt idx="110">
                  <c:v>80.5</c:v>
                </c:pt>
                <c:pt idx="111">
                  <c:v>68.599999999999994</c:v>
                </c:pt>
              </c:numCache>
            </c:numRef>
          </c:yVal>
          <c:smooth val="0"/>
          <c:extLst>
            <c:ext xmlns:c16="http://schemas.microsoft.com/office/drawing/2014/chart" uri="{C3380CC4-5D6E-409C-BE32-E72D297353CC}">
              <c16:uniqueId val="{00000001-D369-4608-9269-3AF45A491E25}"/>
            </c:ext>
          </c:extLst>
        </c:ser>
        <c:dLbls>
          <c:showLegendKey val="0"/>
          <c:showVal val="0"/>
          <c:showCatName val="0"/>
          <c:showSerName val="0"/>
          <c:showPercent val="0"/>
          <c:showBubbleSize val="0"/>
        </c:dLbls>
        <c:axId val="158357760"/>
        <c:axId val="158367744"/>
      </c:scatterChart>
      <c:valAx>
        <c:axId val="158357760"/>
        <c:scaling>
          <c:orientation val="minMax"/>
        </c:scaling>
        <c:delete val="0"/>
        <c:axPos val="b"/>
        <c:majorGridlines/>
        <c:numFmt formatCode="General" sourceLinked="1"/>
        <c:majorTickMark val="out"/>
        <c:minorTickMark val="none"/>
        <c:tickLblPos val="nextTo"/>
        <c:txPr>
          <a:bodyPr/>
          <a:lstStyle/>
          <a:p>
            <a:pPr>
              <a:defRPr b="1"/>
            </a:pPr>
            <a:endParaRPr lang="en-US"/>
          </a:p>
        </c:txPr>
        <c:crossAx val="158367744"/>
        <c:crosses val="autoZero"/>
        <c:crossBetween val="midCat"/>
        <c:majorUnit val="1"/>
      </c:valAx>
      <c:valAx>
        <c:axId val="158367744"/>
        <c:scaling>
          <c:orientation val="minMax"/>
          <c:min val="50"/>
        </c:scaling>
        <c:delete val="0"/>
        <c:axPos val="l"/>
        <c:majorGridlines/>
        <c:numFmt formatCode="0.00" sourceLinked="1"/>
        <c:majorTickMark val="out"/>
        <c:minorTickMark val="none"/>
        <c:tickLblPos val="nextTo"/>
        <c:txPr>
          <a:bodyPr/>
          <a:lstStyle/>
          <a:p>
            <a:pPr>
              <a:defRPr b="1"/>
            </a:pPr>
            <a:endParaRPr lang="en-US"/>
          </a:p>
        </c:txPr>
        <c:crossAx val="158357760"/>
        <c:crosses val="autoZero"/>
        <c:crossBetween val="midCat"/>
      </c:valAx>
    </c:plotArea>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Percentage of good honours 2019  [%GH]</a:t>
            </a:r>
            <a:r>
              <a:rPr lang="en-US" sz="1400" baseline="0"/>
              <a:t> </a:t>
            </a:r>
            <a:r>
              <a:rPr lang="en-US" sz="1400"/>
              <a:t>batched by algorithm (1-36)</a:t>
            </a:r>
          </a:p>
        </c:rich>
      </c:tx>
      <c:overlay val="0"/>
    </c:title>
    <c:autoTitleDeleted val="0"/>
    <c:plotArea>
      <c:layout>
        <c:manualLayout>
          <c:layoutTarget val="inner"/>
          <c:xMode val="edge"/>
          <c:yMode val="edge"/>
          <c:x val="5.3269591301087361E-2"/>
          <c:y val="9.1672241950148364E-2"/>
          <c:w val="0.92354501141902723"/>
          <c:h val="0.79928276122347452"/>
        </c:manualLayout>
      </c:layout>
      <c:scatterChart>
        <c:scatterStyle val="lineMarker"/>
        <c:varyColors val="0"/>
        <c:ser>
          <c:idx val="0"/>
          <c:order val="0"/>
          <c:tx>
            <c:strRef>
              <c:f>Sheet2!$N$2</c:f>
              <c:strCache>
                <c:ptCount val="1"/>
                <c:pt idx="0">
                  <c:v>gh</c:v>
                </c:pt>
              </c:strCache>
            </c:strRef>
          </c:tx>
          <c:spPr>
            <a:ln w="28575">
              <a:noFill/>
            </a:ln>
          </c:spPr>
          <c:marker>
            <c:symbol val="circle"/>
            <c:size val="4"/>
            <c:spPr>
              <a:solidFill>
                <a:schemeClr val="tx1"/>
              </a:solidFill>
              <a:ln>
                <a:solidFill>
                  <a:schemeClr val="tx1"/>
                </a:solidFill>
              </a:ln>
            </c:spPr>
          </c:marker>
          <c:xVal>
            <c:numRef>
              <c:f>Sheet2!$M$3:$M$114</c:f>
              <c:numCache>
                <c:formatCode>General</c:formatCode>
                <c:ptCount val="112"/>
                <c:pt idx="0">
                  <c:v>8</c:v>
                </c:pt>
                <c:pt idx="1">
                  <c:v>1</c:v>
                </c:pt>
                <c:pt idx="2">
                  <c:v>28</c:v>
                </c:pt>
                <c:pt idx="3">
                  <c:v>14</c:v>
                </c:pt>
                <c:pt idx="4">
                  <c:v>14</c:v>
                </c:pt>
                <c:pt idx="5">
                  <c:v>11</c:v>
                </c:pt>
                <c:pt idx="6">
                  <c:v>12</c:v>
                </c:pt>
                <c:pt idx="7">
                  <c:v>25</c:v>
                </c:pt>
                <c:pt idx="8">
                  <c:v>35</c:v>
                </c:pt>
                <c:pt idx="9">
                  <c:v>14</c:v>
                </c:pt>
                <c:pt idx="10">
                  <c:v>9</c:v>
                </c:pt>
                <c:pt idx="11">
                  <c:v>8</c:v>
                </c:pt>
                <c:pt idx="12">
                  <c:v>35</c:v>
                </c:pt>
                <c:pt idx="13">
                  <c:v>13</c:v>
                </c:pt>
                <c:pt idx="14">
                  <c:v>27</c:v>
                </c:pt>
                <c:pt idx="15">
                  <c:v>14</c:v>
                </c:pt>
                <c:pt idx="16">
                  <c:v>11</c:v>
                </c:pt>
                <c:pt idx="17">
                  <c:v>8</c:v>
                </c:pt>
                <c:pt idx="18">
                  <c:v>11</c:v>
                </c:pt>
                <c:pt idx="19">
                  <c:v>22</c:v>
                </c:pt>
                <c:pt idx="20">
                  <c:v>13</c:v>
                </c:pt>
                <c:pt idx="21">
                  <c:v>25</c:v>
                </c:pt>
                <c:pt idx="22">
                  <c:v>27</c:v>
                </c:pt>
                <c:pt idx="23">
                  <c:v>24</c:v>
                </c:pt>
                <c:pt idx="24">
                  <c:v>9</c:v>
                </c:pt>
                <c:pt idx="25">
                  <c:v>36</c:v>
                </c:pt>
                <c:pt idx="26">
                  <c:v>25</c:v>
                </c:pt>
                <c:pt idx="27">
                  <c:v>20</c:v>
                </c:pt>
                <c:pt idx="28">
                  <c:v>15</c:v>
                </c:pt>
                <c:pt idx="29">
                  <c:v>9</c:v>
                </c:pt>
                <c:pt idx="30">
                  <c:v>9</c:v>
                </c:pt>
                <c:pt idx="31">
                  <c:v>9</c:v>
                </c:pt>
                <c:pt idx="32">
                  <c:v>30</c:v>
                </c:pt>
                <c:pt idx="33">
                  <c:v>22</c:v>
                </c:pt>
                <c:pt idx="34">
                  <c:v>8</c:v>
                </c:pt>
                <c:pt idx="35">
                  <c:v>28</c:v>
                </c:pt>
                <c:pt idx="36">
                  <c:v>9</c:v>
                </c:pt>
                <c:pt idx="37">
                  <c:v>11</c:v>
                </c:pt>
                <c:pt idx="38">
                  <c:v>11</c:v>
                </c:pt>
                <c:pt idx="39">
                  <c:v>28</c:v>
                </c:pt>
                <c:pt idx="40">
                  <c:v>35</c:v>
                </c:pt>
                <c:pt idx="41">
                  <c:v>5</c:v>
                </c:pt>
                <c:pt idx="42">
                  <c:v>21</c:v>
                </c:pt>
                <c:pt idx="43">
                  <c:v>13</c:v>
                </c:pt>
                <c:pt idx="44">
                  <c:v>29</c:v>
                </c:pt>
                <c:pt idx="45">
                  <c:v>24</c:v>
                </c:pt>
                <c:pt idx="46">
                  <c:v>13</c:v>
                </c:pt>
                <c:pt idx="47">
                  <c:v>11</c:v>
                </c:pt>
                <c:pt idx="48">
                  <c:v>9</c:v>
                </c:pt>
                <c:pt idx="49">
                  <c:v>1</c:v>
                </c:pt>
                <c:pt idx="50">
                  <c:v>21</c:v>
                </c:pt>
                <c:pt idx="51">
                  <c:v>11</c:v>
                </c:pt>
                <c:pt idx="52">
                  <c:v>26</c:v>
                </c:pt>
                <c:pt idx="53">
                  <c:v>14</c:v>
                </c:pt>
                <c:pt idx="54">
                  <c:v>11</c:v>
                </c:pt>
                <c:pt idx="55">
                  <c:v>35</c:v>
                </c:pt>
                <c:pt idx="56">
                  <c:v>13</c:v>
                </c:pt>
                <c:pt idx="57">
                  <c:v>11</c:v>
                </c:pt>
                <c:pt idx="58">
                  <c:v>14</c:v>
                </c:pt>
                <c:pt idx="59">
                  <c:v>29</c:v>
                </c:pt>
                <c:pt idx="60">
                  <c:v>7</c:v>
                </c:pt>
                <c:pt idx="61">
                  <c:v>4</c:v>
                </c:pt>
                <c:pt idx="62">
                  <c:v>14</c:v>
                </c:pt>
                <c:pt idx="63">
                  <c:v>6</c:v>
                </c:pt>
                <c:pt idx="64">
                  <c:v>9</c:v>
                </c:pt>
                <c:pt idx="65">
                  <c:v>9</c:v>
                </c:pt>
                <c:pt idx="66">
                  <c:v>35</c:v>
                </c:pt>
                <c:pt idx="67">
                  <c:v>14</c:v>
                </c:pt>
                <c:pt idx="68">
                  <c:v>18</c:v>
                </c:pt>
                <c:pt idx="69">
                  <c:v>3</c:v>
                </c:pt>
                <c:pt idx="70">
                  <c:v>32</c:v>
                </c:pt>
                <c:pt idx="71">
                  <c:v>22</c:v>
                </c:pt>
                <c:pt idx="72">
                  <c:v>2</c:v>
                </c:pt>
                <c:pt idx="73">
                  <c:v>15</c:v>
                </c:pt>
                <c:pt idx="74">
                  <c:v>2</c:v>
                </c:pt>
                <c:pt idx="75">
                  <c:v>13</c:v>
                </c:pt>
                <c:pt idx="76">
                  <c:v>33</c:v>
                </c:pt>
                <c:pt idx="77">
                  <c:v>11</c:v>
                </c:pt>
                <c:pt idx="78">
                  <c:v>6</c:v>
                </c:pt>
                <c:pt idx="79">
                  <c:v>31</c:v>
                </c:pt>
                <c:pt idx="80">
                  <c:v>11</c:v>
                </c:pt>
                <c:pt idx="81">
                  <c:v>26</c:v>
                </c:pt>
                <c:pt idx="82">
                  <c:v>11</c:v>
                </c:pt>
                <c:pt idx="83">
                  <c:v>26</c:v>
                </c:pt>
                <c:pt idx="84">
                  <c:v>6</c:v>
                </c:pt>
                <c:pt idx="85">
                  <c:v>25</c:v>
                </c:pt>
                <c:pt idx="86">
                  <c:v>28</c:v>
                </c:pt>
                <c:pt idx="87">
                  <c:v>11</c:v>
                </c:pt>
                <c:pt idx="88">
                  <c:v>8</c:v>
                </c:pt>
                <c:pt idx="89">
                  <c:v>36</c:v>
                </c:pt>
                <c:pt idx="90">
                  <c:v>13</c:v>
                </c:pt>
                <c:pt idx="91">
                  <c:v>16</c:v>
                </c:pt>
                <c:pt idx="92">
                  <c:v>9</c:v>
                </c:pt>
                <c:pt idx="93">
                  <c:v>27</c:v>
                </c:pt>
                <c:pt idx="94">
                  <c:v>10</c:v>
                </c:pt>
                <c:pt idx="95">
                  <c:v>9</c:v>
                </c:pt>
                <c:pt idx="96">
                  <c:v>7</c:v>
                </c:pt>
                <c:pt idx="97">
                  <c:v>25</c:v>
                </c:pt>
                <c:pt idx="98">
                  <c:v>24</c:v>
                </c:pt>
                <c:pt idx="99">
                  <c:v>35</c:v>
                </c:pt>
                <c:pt idx="100">
                  <c:v>14</c:v>
                </c:pt>
                <c:pt idx="101">
                  <c:v>13</c:v>
                </c:pt>
                <c:pt idx="102">
                  <c:v>26</c:v>
                </c:pt>
                <c:pt idx="103">
                  <c:v>23</c:v>
                </c:pt>
                <c:pt idx="104">
                  <c:v>35</c:v>
                </c:pt>
                <c:pt idx="105">
                  <c:v>17</c:v>
                </c:pt>
                <c:pt idx="106">
                  <c:v>19</c:v>
                </c:pt>
                <c:pt idx="107">
                  <c:v>28</c:v>
                </c:pt>
                <c:pt idx="108">
                  <c:v>34</c:v>
                </c:pt>
                <c:pt idx="109">
                  <c:v>35</c:v>
                </c:pt>
                <c:pt idx="110">
                  <c:v>9</c:v>
                </c:pt>
                <c:pt idx="111">
                  <c:v>8</c:v>
                </c:pt>
              </c:numCache>
            </c:numRef>
          </c:xVal>
          <c:yVal>
            <c:numRef>
              <c:f>Sheet2!$N$3:$N$114</c:f>
              <c:numCache>
                <c:formatCode>0.00</c:formatCode>
                <c:ptCount val="112"/>
                <c:pt idx="0">
                  <c:v>65.8</c:v>
                </c:pt>
                <c:pt idx="1">
                  <c:v>69</c:v>
                </c:pt>
                <c:pt idx="2">
                  <c:v>74</c:v>
                </c:pt>
                <c:pt idx="3">
                  <c:v>66.099999999999994</c:v>
                </c:pt>
                <c:pt idx="4">
                  <c:v>84.4</c:v>
                </c:pt>
                <c:pt idx="5">
                  <c:v>71.400000000000006</c:v>
                </c:pt>
                <c:pt idx="6">
                  <c:v>88.3</c:v>
                </c:pt>
                <c:pt idx="7">
                  <c:v>78.8</c:v>
                </c:pt>
                <c:pt idx="8">
                  <c:v>63.9</c:v>
                </c:pt>
                <c:pt idx="9">
                  <c:v>86.6</c:v>
                </c:pt>
                <c:pt idx="10">
                  <c:v>71.599999999999994</c:v>
                </c:pt>
                <c:pt idx="11">
                  <c:v>69</c:v>
                </c:pt>
                <c:pt idx="12">
                  <c:v>60.8</c:v>
                </c:pt>
                <c:pt idx="13">
                  <c:v>76.400000000000006</c:v>
                </c:pt>
                <c:pt idx="14">
                  <c:v>80.2</c:v>
                </c:pt>
                <c:pt idx="15">
                  <c:v>72.2</c:v>
                </c:pt>
                <c:pt idx="16">
                  <c:v>75.7</c:v>
                </c:pt>
                <c:pt idx="17">
                  <c:v>69.7</c:v>
                </c:pt>
                <c:pt idx="18">
                  <c:v>60.4</c:v>
                </c:pt>
                <c:pt idx="19">
                  <c:v>68.8</c:v>
                </c:pt>
                <c:pt idx="20">
                  <c:v>83.3</c:v>
                </c:pt>
                <c:pt idx="21">
                  <c:v>67.400000000000006</c:v>
                </c:pt>
                <c:pt idx="22">
                  <c:v>71.8</c:v>
                </c:pt>
                <c:pt idx="23">
                  <c:v>69.7</c:v>
                </c:pt>
                <c:pt idx="24">
                  <c:v>73.099999999999994</c:v>
                </c:pt>
                <c:pt idx="25">
                  <c:v>76.099999999999994</c:v>
                </c:pt>
                <c:pt idx="26">
                  <c:v>67.400000000000006</c:v>
                </c:pt>
                <c:pt idx="27">
                  <c:v>75.099999999999994</c:v>
                </c:pt>
                <c:pt idx="28">
                  <c:v>65.7</c:v>
                </c:pt>
                <c:pt idx="29">
                  <c:v>78.900000000000006</c:v>
                </c:pt>
                <c:pt idx="30">
                  <c:v>92.1</c:v>
                </c:pt>
                <c:pt idx="31">
                  <c:v>87.2</c:v>
                </c:pt>
                <c:pt idx="32">
                  <c:v>68.099999999999994</c:v>
                </c:pt>
                <c:pt idx="33">
                  <c:v>74</c:v>
                </c:pt>
                <c:pt idx="34">
                  <c:v>89.5</c:v>
                </c:pt>
                <c:pt idx="35">
                  <c:v>75.7</c:v>
                </c:pt>
                <c:pt idx="36">
                  <c:v>74.5</c:v>
                </c:pt>
                <c:pt idx="37">
                  <c:v>87.9</c:v>
                </c:pt>
                <c:pt idx="38">
                  <c:v>78</c:v>
                </c:pt>
                <c:pt idx="39">
                  <c:v>79.900000000000006</c:v>
                </c:pt>
                <c:pt idx="40">
                  <c:v>71.3</c:v>
                </c:pt>
                <c:pt idx="41">
                  <c:v>81.900000000000006</c:v>
                </c:pt>
                <c:pt idx="42">
                  <c:v>77</c:v>
                </c:pt>
                <c:pt idx="43">
                  <c:v>74.400000000000006</c:v>
                </c:pt>
                <c:pt idx="44">
                  <c:v>64.900000000000006</c:v>
                </c:pt>
                <c:pt idx="45">
                  <c:v>74.599999999999994</c:v>
                </c:pt>
                <c:pt idx="46">
                  <c:v>70.400000000000006</c:v>
                </c:pt>
                <c:pt idx="47">
                  <c:v>74.2</c:v>
                </c:pt>
                <c:pt idx="48">
                  <c:v>79.099999999999994</c:v>
                </c:pt>
                <c:pt idx="49">
                  <c:v>86.7</c:v>
                </c:pt>
                <c:pt idx="50">
                  <c:v>72.5</c:v>
                </c:pt>
                <c:pt idx="51">
                  <c:v>79.900000000000006</c:v>
                </c:pt>
                <c:pt idx="52">
                  <c:v>70.3</c:v>
                </c:pt>
                <c:pt idx="53">
                  <c:v>79.3</c:v>
                </c:pt>
                <c:pt idx="54">
                  <c:v>78.400000000000006</c:v>
                </c:pt>
                <c:pt idx="55">
                  <c:v>75.099999999999994</c:v>
                </c:pt>
                <c:pt idx="56">
                  <c:v>80.599999999999994</c:v>
                </c:pt>
                <c:pt idx="57">
                  <c:v>68</c:v>
                </c:pt>
                <c:pt idx="58">
                  <c:v>73.8</c:v>
                </c:pt>
                <c:pt idx="59">
                  <c:v>60.8</c:v>
                </c:pt>
                <c:pt idx="60">
                  <c:v>69.5</c:v>
                </c:pt>
                <c:pt idx="61">
                  <c:v>90.5</c:v>
                </c:pt>
                <c:pt idx="62">
                  <c:v>73.2</c:v>
                </c:pt>
                <c:pt idx="63">
                  <c:v>67.2</c:v>
                </c:pt>
                <c:pt idx="64">
                  <c:v>60.9</c:v>
                </c:pt>
                <c:pt idx="65">
                  <c:v>68</c:v>
                </c:pt>
                <c:pt idx="66">
                  <c:v>74.400000000000006</c:v>
                </c:pt>
                <c:pt idx="67">
                  <c:v>71.8</c:v>
                </c:pt>
                <c:pt idx="68">
                  <c:v>75.7</c:v>
                </c:pt>
                <c:pt idx="69">
                  <c:v>70.900000000000006</c:v>
                </c:pt>
                <c:pt idx="70">
                  <c:v>77.099999999999994</c:v>
                </c:pt>
                <c:pt idx="71">
                  <c:v>75</c:v>
                </c:pt>
                <c:pt idx="72">
                  <c:v>84</c:v>
                </c:pt>
                <c:pt idx="73">
                  <c:v>79</c:v>
                </c:pt>
                <c:pt idx="74">
                  <c:v>83.2</c:v>
                </c:pt>
                <c:pt idx="75">
                  <c:v>63.5</c:v>
                </c:pt>
                <c:pt idx="76">
                  <c:v>63.9</c:v>
                </c:pt>
                <c:pt idx="77">
                  <c:v>81.7</c:v>
                </c:pt>
                <c:pt idx="78">
                  <c:v>69.900000000000006</c:v>
                </c:pt>
                <c:pt idx="79">
                  <c:v>68.7</c:v>
                </c:pt>
                <c:pt idx="80">
                  <c:v>82.6</c:v>
                </c:pt>
                <c:pt idx="81">
                  <c:v>73.7</c:v>
                </c:pt>
                <c:pt idx="82">
                  <c:v>81.5</c:v>
                </c:pt>
                <c:pt idx="83">
                  <c:v>74.7</c:v>
                </c:pt>
                <c:pt idx="84">
                  <c:v>81.7</c:v>
                </c:pt>
                <c:pt idx="85">
                  <c:v>71.3</c:v>
                </c:pt>
                <c:pt idx="86">
                  <c:v>67.3</c:v>
                </c:pt>
                <c:pt idx="87">
                  <c:v>84.9</c:v>
                </c:pt>
                <c:pt idx="88">
                  <c:v>89.8</c:v>
                </c:pt>
                <c:pt idx="89">
                  <c:v>75.3</c:v>
                </c:pt>
                <c:pt idx="90">
                  <c:v>72.3</c:v>
                </c:pt>
                <c:pt idx="91">
                  <c:v>76.3</c:v>
                </c:pt>
                <c:pt idx="92">
                  <c:v>66.8</c:v>
                </c:pt>
                <c:pt idx="93">
                  <c:v>64.7</c:v>
                </c:pt>
                <c:pt idx="94">
                  <c:v>85</c:v>
                </c:pt>
                <c:pt idx="95">
                  <c:v>75.599999999999994</c:v>
                </c:pt>
                <c:pt idx="96">
                  <c:v>78</c:v>
                </c:pt>
                <c:pt idx="97">
                  <c:v>68</c:v>
                </c:pt>
                <c:pt idx="98">
                  <c:v>72.900000000000006</c:v>
                </c:pt>
                <c:pt idx="99">
                  <c:v>71.3</c:v>
                </c:pt>
                <c:pt idx="100">
                  <c:v>75.099999999999994</c:v>
                </c:pt>
                <c:pt idx="101">
                  <c:v>76</c:v>
                </c:pt>
                <c:pt idx="102">
                  <c:v>75.400000000000006</c:v>
                </c:pt>
                <c:pt idx="103">
                  <c:v>74.3</c:v>
                </c:pt>
                <c:pt idx="104">
                  <c:v>71.3</c:v>
                </c:pt>
                <c:pt idx="105">
                  <c:v>70.5</c:v>
                </c:pt>
                <c:pt idx="106">
                  <c:v>76.400000000000006</c:v>
                </c:pt>
                <c:pt idx="107">
                  <c:v>66.2</c:v>
                </c:pt>
                <c:pt idx="108">
                  <c:v>67.099999999999994</c:v>
                </c:pt>
                <c:pt idx="109">
                  <c:v>70.400000000000006</c:v>
                </c:pt>
                <c:pt idx="110">
                  <c:v>80.5</c:v>
                </c:pt>
                <c:pt idx="111">
                  <c:v>68.599999999999994</c:v>
                </c:pt>
              </c:numCache>
            </c:numRef>
          </c:yVal>
          <c:smooth val="0"/>
          <c:extLst>
            <c:ext xmlns:c16="http://schemas.microsoft.com/office/drawing/2014/chart" uri="{C3380CC4-5D6E-409C-BE32-E72D297353CC}">
              <c16:uniqueId val="{00000000-C894-477C-BE94-431007451FCD}"/>
            </c:ext>
          </c:extLst>
        </c:ser>
        <c:dLbls>
          <c:showLegendKey val="0"/>
          <c:showVal val="0"/>
          <c:showCatName val="0"/>
          <c:showSerName val="0"/>
          <c:showPercent val="0"/>
          <c:showBubbleSize val="0"/>
        </c:dLbls>
        <c:axId val="158371200"/>
        <c:axId val="158880512"/>
      </c:scatterChart>
      <c:valAx>
        <c:axId val="158371200"/>
        <c:scaling>
          <c:orientation val="minMax"/>
          <c:max val="36"/>
        </c:scaling>
        <c:delete val="0"/>
        <c:axPos val="b"/>
        <c:majorGridlines/>
        <c:title>
          <c:tx>
            <c:rich>
              <a:bodyPr/>
              <a:lstStyle/>
              <a:p>
                <a:pPr>
                  <a:defRPr sz="1200"/>
                </a:pPr>
                <a:r>
                  <a:rPr lang="en-GB" sz="1200"/>
                  <a:t>Algorithm</a:t>
                </a:r>
                <a:r>
                  <a:rPr lang="en-GB" sz="1200" baseline="0"/>
                  <a:t> number</a:t>
                </a:r>
                <a:endParaRPr lang="en-GB" sz="1200"/>
              </a:p>
            </c:rich>
          </c:tx>
          <c:layout>
            <c:manualLayout>
              <c:xMode val="edge"/>
              <c:yMode val="edge"/>
              <c:x val="0.84844030859778918"/>
              <c:y val="0.94927023827903889"/>
            </c:manualLayout>
          </c:layout>
          <c:overlay val="0"/>
        </c:title>
        <c:numFmt formatCode="General" sourceLinked="1"/>
        <c:majorTickMark val="out"/>
        <c:minorTickMark val="none"/>
        <c:tickLblPos val="nextTo"/>
        <c:txPr>
          <a:bodyPr/>
          <a:lstStyle/>
          <a:p>
            <a:pPr>
              <a:defRPr sz="1200" b="1"/>
            </a:pPr>
            <a:endParaRPr lang="en-US"/>
          </a:p>
        </c:txPr>
        <c:crossAx val="158880512"/>
        <c:crosses val="autoZero"/>
        <c:crossBetween val="midCat"/>
        <c:majorUnit val="1"/>
      </c:valAx>
      <c:valAx>
        <c:axId val="158880512"/>
        <c:scaling>
          <c:orientation val="minMax"/>
          <c:min val="56"/>
        </c:scaling>
        <c:delete val="0"/>
        <c:axPos val="l"/>
        <c:majorGridlines/>
        <c:title>
          <c:tx>
            <c:rich>
              <a:bodyPr rot="0" vert="horz"/>
              <a:lstStyle/>
              <a:p>
                <a:pPr>
                  <a:defRPr sz="1200"/>
                </a:pPr>
                <a:r>
                  <a:rPr lang="en-GB" sz="1200"/>
                  <a:t>%</a:t>
                </a:r>
                <a:r>
                  <a:rPr lang="en-GB" sz="1200" baseline="0"/>
                  <a:t> GH</a:t>
                </a:r>
                <a:endParaRPr lang="en-GB" sz="1200"/>
              </a:p>
            </c:rich>
          </c:tx>
          <c:layout>
            <c:manualLayout>
              <c:xMode val="edge"/>
              <c:yMode val="edge"/>
              <c:x val="8.6580086580086649E-3"/>
              <c:y val="3.1395193247902839E-2"/>
            </c:manualLayout>
          </c:layout>
          <c:overlay val="0"/>
        </c:title>
        <c:numFmt formatCode="0" sourceLinked="0"/>
        <c:majorTickMark val="out"/>
        <c:minorTickMark val="none"/>
        <c:tickLblPos val="nextTo"/>
        <c:txPr>
          <a:bodyPr/>
          <a:lstStyle/>
          <a:p>
            <a:pPr>
              <a:defRPr sz="1200" b="1"/>
            </a:pPr>
            <a:endParaRPr lang="en-US"/>
          </a:p>
        </c:txPr>
        <c:crossAx val="158371200"/>
        <c:crosses val="autoZero"/>
        <c:crossBetween val="midCat"/>
        <c:majorUnit val="2"/>
        <c:minorUnit val="1"/>
      </c:valAx>
    </c:plotArea>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434340</xdr:colOff>
      <xdr:row>135</xdr:row>
      <xdr:rowOff>60960</xdr:rowOff>
    </xdr:from>
    <xdr:to>
      <xdr:col>14</xdr:col>
      <xdr:colOff>502920</xdr:colOff>
      <xdr:row>155</xdr:row>
      <xdr:rowOff>167640</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101600</xdr:colOff>
      <xdr:row>38</xdr:row>
      <xdr:rowOff>114300</xdr:rowOff>
    </xdr:from>
    <xdr:to>
      <xdr:col>33</xdr:col>
      <xdr:colOff>368300</xdr:colOff>
      <xdr:row>70</xdr:row>
      <xdr:rowOff>91440</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411480</xdr:colOff>
      <xdr:row>41</xdr:row>
      <xdr:rowOff>101600</xdr:rowOff>
    </xdr:from>
    <xdr:to>
      <xdr:col>25</xdr:col>
      <xdr:colOff>411480</xdr:colOff>
      <xdr:row>68</xdr:row>
      <xdr:rowOff>93980</xdr:rowOff>
    </xdr:to>
    <xdr:cxnSp macro="">
      <xdr:nvCxnSpPr>
        <xdr:cNvPr id="9" name="Straight Connector 8">
          <a:extLst>
            <a:ext uri="{FF2B5EF4-FFF2-40B4-BE49-F238E27FC236}">
              <a16:creationId xmlns:a16="http://schemas.microsoft.com/office/drawing/2014/main" id="{00000000-0008-0000-0600-000009000000}"/>
            </a:ext>
          </a:extLst>
        </xdr:cNvPr>
        <xdr:cNvCxnSpPr/>
      </xdr:nvCxnSpPr>
      <xdr:spPr>
        <a:xfrm>
          <a:off x="16494760" y="7599680"/>
          <a:ext cx="0" cy="4930140"/>
        </a:xfrm>
        <a:prstGeom prst="line">
          <a:avLst/>
        </a:prstGeom>
        <a:ln w="9525">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205740</xdr:colOff>
      <xdr:row>41</xdr:row>
      <xdr:rowOff>99060</xdr:rowOff>
    </xdr:from>
    <xdr:to>
      <xdr:col>32</xdr:col>
      <xdr:colOff>205740</xdr:colOff>
      <xdr:row>68</xdr:row>
      <xdr:rowOff>91440</xdr:rowOff>
    </xdr:to>
    <xdr:cxnSp macro="">
      <xdr:nvCxnSpPr>
        <xdr:cNvPr id="16" name="Straight Connector 15">
          <a:extLst>
            <a:ext uri="{FF2B5EF4-FFF2-40B4-BE49-F238E27FC236}">
              <a16:creationId xmlns:a16="http://schemas.microsoft.com/office/drawing/2014/main" id="{00000000-0008-0000-0600-000010000000}"/>
            </a:ext>
          </a:extLst>
        </xdr:cNvPr>
        <xdr:cNvCxnSpPr/>
      </xdr:nvCxnSpPr>
      <xdr:spPr>
        <a:xfrm>
          <a:off x="20556220" y="7597140"/>
          <a:ext cx="0" cy="4930140"/>
        </a:xfrm>
        <a:prstGeom prst="line">
          <a:avLst/>
        </a:prstGeom>
        <a:ln w="9525">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599440</xdr:colOff>
      <xdr:row>41</xdr:row>
      <xdr:rowOff>71120</xdr:rowOff>
    </xdr:from>
    <xdr:to>
      <xdr:col>21</xdr:col>
      <xdr:colOff>599440</xdr:colOff>
      <xdr:row>68</xdr:row>
      <xdr:rowOff>63500</xdr:rowOff>
    </xdr:to>
    <xdr:cxnSp macro="">
      <xdr:nvCxnSpPr>
        <xdr:cNvPr id="17" name="Straight Connector 16">
          <a:extLst>
            <a:ext uri="{FF2B5EF4-FFF2-40B4-BE49-F238E27FC236}">
              <a16:creationId xmlns:a16="http://schemas.microsoft.com/office/drawing/2014/main" id="{00000000-0008-0000-0600-000011000000}"/>
            </a:ext>
          </a:extLst>
        </xdr:cNvPr>
        <xdr:cNvCxnSpPr/>
      </xdr:nvCxnSpPr>
      <xdr:spPr>
        <a:xfrm>
          <a:off x="14244320" y="7569200"/>
          <a:ext cx="0" cy="4930140"/>
        </a:xfrm>
        <a:prstGeom prst="line">
          <a:avLst/>
        </a:prstGeom>
        <a:ln w="9525">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20</xdr:col>
      <xdr:colOff>223520</xdr:colOff>
      <xdr:row>42</xdr:row>
      <xdr:rowOff>0</xdr:rowOff>
    </xdr:from>
    <xdr:ext cx="740203" cy="264560"/>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3258800" y="7680960"/>
          <a:ext cx="740203" cy="26456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GB" sz="1100" b="1"/>
            <a:t>Y1/Y2/Y3</a:t>
          </a:r>
        </a:p>
      </xdr:txBody>
    </xdr:sp>
    <xdr:clientData/>
  </xdr:oneCellAnchor>
  <xdr:oneCellAnchor>
    <xdr:from>
      <xdr:col>23</xdr:col>
      <xdr:colOff>447040</xdr:colOff>
      <xdr:row>41</xdr:row>
      <xdr:rowOff>142240</xdr:rowOff>
    </xdr:from>
    <xdr:ext cx="1077667" cy="436786"/>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15311120" y="7640320"/>
          <a:ext cx="1077667" cy="436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en-GB" sz="1100" b="1"/>
            <a:t>Y2/Y3</a:t>
          </a:r>
        </a:p>
        <a:p>
          <a:pPr algn="ctr"/>
          <a:r>
            <a:rPr lang="en-GB" sz="1100" b="1"/>
            <a:t>No</a:t>
          </a:r>
          <a:r>
            <a:rPr lang="en-GB" sz="1100" b="1" baseline="0"/>
            <a:t> Discounting</a:t>
          </a:r>
          <a:endParaRPr lang="en-GB" sz="1100" b="1"/>
        </a:p>
      </xdr:txBody>
    </xdr:sp>
    <xdr:clientData/>
  </xdr:oneCellAnchor>
  <xdr:oneCellAnchor>
    <xdr:from>
      <xdr:col>28</xdr:col>
      <xdr:colOff>252716</xdr:colOff>
      <xdr:row>41</xdr:row>
      <xdr:rowOff>162560</xdr:rowOff>
    </xdr:from>
    <xdr:ext cx="877035" cy="436786"/>
    <xdr:sp macro="" textlink="">
      <xdr:nvSpPr>
        <xdr:cNvPr id="10" name="TextBox 9">
          <a:extLst>
            <a:ext uri="{FF2B5EF4-FFF2-40B4-BE49-F238E27FC236}">
              <a16:creationId xmlns:a16="http://schemas.microsoft.com/office/drawing/2014/main" id="{00000000-0008-0000-0600-00000A000000}"/>
            </a:ext>
          </a:extLst>
        </xdr:cNvPr>
        <xdr:cNvSpPr txBox="1"/>
      </xdr:nvSpPr>
      <xdr:spPr>
        <a:xfrm>
          <a:off x="18164796" y="7660640"/>
          <a:ext cx="877035" cy="436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en-GB" sz="1100" b="1"/>
            <a:t>Y2/Y3</a:t>
          </a:r>
        </a:p>
        <a:p>
          <a:pPr algn="ctr"/>
          <a:r>
            <a:rPr lang="en-GB" sz="1100" b="1" baseline="0"/>
            <a:t>Discounting</a:t>
          </a:r>
          <a:endParaRPr lang="en-GB" sz="1100" b="1"/>
        </a:p>
      </xdr:txBody>
    </xdr:sp>
    <xdr:clientData/>
  </xdr:oneCellAnchor>
  <xdr:oneCellAnchor>
    <xdr:from>
      <xdr:col>32</xdr:col>
      <xdr:colOff>274320</xdr:colOff>
      <xdr:row>41</xdr:row>
      <xdr:rowOff>162560</xdr:rowOff>
    </xdr:from>
    <xdr:ext cx="457241" cy="436786"/>
    <xdr:sp macro="" textlink="">
      <xdr:nvSpPr>
        <xdr:cNvPr id="11" name="TextBox 10">
          <a:extLst>
            <a:ext uri="{FF2B5EF4-FFF2-40B4-BE49-F238E27FC236}">
              <a16:creationId xmlns:a16="http://schemas.microsoft.com/office/drawing/2014/main" id="{00000000-0008-0000-0600-00000B000000}"/>
            </a:ext>
          </a:extLst>
        </xdr:cNvPr>
        <xdr:cNvSpPr txBox="1"/>
      </xdr:nvSpPr>
      <xdr:spPr>
        <a:xfrm>
          <a:off x="20624800" y="7660640"/>
          <a:ext cx="457241" cy="4367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algn="ctr"/>
          <a:r>
            <a:rPr lang="en-GB" sz="1100" b="1"/>
            <a:t>Y3</a:t>
          </a:r>
        </a:p>
        <a:p>
          <a:pPr algn="ctr"/>
          <a:r>
            <a:rPr lang="en-GB" sz="1100" b="1"/>
            <a:t>Only</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yber/Downloads/register%20of%20uni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THIS ONE"/>
      <sheetName val="THIS ONE (2)"/>
      <sheetName val="final correct"/>
      <sheetName val="big t x2"/>
      <sheetName val="big t x2 (3)"/>
      <sheetName val="Sheet3"/>
      <sheetName val="WORKED EXAMPLES"/>
      <sheetName val="TEF"/>
      <sheetName val="uni"/>
      <sheetName val="ppt table"/>
      <sheetName val="Sheet2"/>
      <sheetName val="Sheet4"/>
      <sheetName val="PPT 2"/>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31">
          <cell r="N131">
            <v>74</v>
          </cell>
          <cell r="O131">
            <v>64.5</v>
          </cell>
        </row>
      </sheetData>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ationaldegreemark@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journals.gre.ac.uk/index.php/compass/article/view/136"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https://www.bath.ac.uk/publications/student-transcript-examples/attachments/Transcript-example.pdf%20From%20sample%20transcript%20th%20ratio%20appears%20to%20be%2032%25%20Y2%20-%2068%25%20Y3"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hyperlink" Target="https://www.thecompleteuniversityguide.co.uk/league-tables/rankings?sortby=good-honours" TargetMode="External"/><Relationship Id="rId7" Type="http://schemas.openxmlformats.org/officeDocument/2006/relationships/comments" Target="../comments2.xml"/><Relationship Id="rId2" Type="http://schemas.openxmlformats.org/officeDocument/2006/relationships/hyperlink" Target="https://www.strath.ac.uk/sees/educationenhancement/qualityassurance/universityregulations/" TargetMode="External"/><Relationship Id="rId1" Type="http://schemas.openxmlformats.org/officeDocument/2006/relationships/hyperlink" Target="https://www.bath.ac.uk/publications/student-transcript-examples/attachments/Transcript-example.pdf%20From%20sample%20transcript%20th%20ratio%20appears%20to%20be%2032%25%20Y2%20-%2068%25%20Y3" TargetMode="External"/><Relationship Id="rId6" Type="http://schemas.openxmlformats.org/officeDocument/2006/relationships/vmlDrawing" Target="../drawings/vmlDrawing2.vml"/><Relationship Id="rId5" Type="http://schemas.openxmlformats.org/officeDocument/2006/relationships/printerSettings" Target="../printerSettings/printerSettings5.bin"/><Relationship Id="rId4" Type="http://schemas.openxmlformats.org/officeDocument/2006/relationships/hyperlink" Target="https://www2.uwe.ac.uk/services/Marketing/students/Student%20advice/Regulations-documents/2019-20/Academic-Regulations-2019-2020-Volume-1-UG-PG.pdf" TargetMode="External"/></Relationships>
</file>

<file path=xl/worksheets/_rels/sheet6.xml.rels><?xml version="1.0" encoding="UTF-8" standalone="yes"?>
<Relationships xmlns="http://schemas.openxmlformats.org/package/2006/relationships"><Relationship Id="rId26" Type="http://schemas.openxmlformats.org/officeDocument/2006/relationships/hyperlink" Target="http://www.brunel.ac.uk/" TargetMode="External"/><Relationship Id="rId117" Type="http://schemas.openxmlformats.org/officeDocument/2006/relationships/hyperlink" Target="http://www.regents.ac.uk/" TargetMode="External"/><Relationship Id="rId21" Type="http://schemas.openxmlformats.org/officeDocument/2006/relationships/hyperlink" Target="http://www.bournemouth.ac.uk/" TargetMode="External"/><Relationship Id="rId42" Type="http://schemas.openxmlformats.org/officeDocument/2006/relationships/hyperlink" Target="http://www.derby.ac.uk/" TargetMode="External"/><Relationship Id="rId47" Type="http://schemas.openxmlformats.org/officeDocument/2006/relationships/hyperlink" Target="http://www.edgehill.ac.uk/" TargetMode="External"/><Relationship Id="rId63" Type="http://schemas.openxmlformats.org/officeDocument/2006/relationships/hyperlink" Target="http://www.herts.ac.uk/" TargetMode="External"/><Relationship Id="rId68" Type="http://schemas.openxmlformats.org/officeDocument/2006/relationships/hyperlink" Target="http://www.ic.ac.uk/" TargetMode="External"/><Relationship Id="rId84" Type="http://schemas.openxmlformats.org/officeDocument/2006/relationships/hyperlink" Target="http://www.hope.ac.uk/" TargetMode="External"/><Relationship Id="rId89" Type="http://schemas.openxmlformats.org/officeDocument/2006/relationships/hyperlink" Target="http://www.libf.ac.uk/" TargetMode="External"/><Relationship Id="rId112" Type="http://schemas.openxmlformats.org/officeDocument/2006/relationships/hyperlink" Target="http://www.qmu.ac.uk/" TargetMode="External"/><Relationship Id="rId133" Type="http://schemas.openxmlformats.org/officeDocument/2006/relationships/hyperlink" Target="http://www.soas.ac.uk/" TargetMode="External"/><Relationship Id="rId138" Type="http://schemas.openxmlformats.org/officeDocument/2006/relationships/hyperlink" Target="http://www.solent.ac.uk/" TargetMode="External"/><Relationship Id="rId154" Type="http://schemas.openxmlformats.org/officeDocument/2006/relationships/hyperlink" Target="http://www.cem.ac.uk/" TargetMode="External"/><Relationship Id="rId159" Type="http://schemas.openxmlformats.org/officeDocument/2006/relationships/hyperlink" Target="https://www.uwtsd.ac.uk/" TargetMode="External"/><Relationship Id="rId175" Type="http://schemas.openxmlformats.org/officeDocument/2006/relationships/hyperlink" Target="https://www.leedscitycollege.ac.uk/university-centre/" TargetMode="External"/><Relationship Id="rId170" Type="http://schemas.openxmlformats.org/officeDocument/2006/relationships/hyperlink" Target="http://www.yorksj.ac.uk/" TargetMode="External"/><Relationship Id="rId16" Type="http://schemas.openxmlformats.org/officeDocument/2006/relationships/hyperlink" Target="http://www.bcu.ac.uk/" TargetMode="External"/><Relationship Id="rId107" Type="http://schemas.openxmlformats.org/officeDocument/2006/relationships/hyperlink" Target="http://www.open.ac.uk/" TargetMode="External"/><Relationship Id="rId11" Type="http://schemas.openxmlformats.org/officeDocument/2006/relationships/hyperlink" Target="http://www.bath.ac.uk/" TargetMode="External"/><Relationship Id="rId32" Type="http://schemas.openxmlformats.org/officeDocument/2006/relationships/hyperlink" Target="http://www.cf.ac.uk/" TargetMode="External"/><Relationship Id="rId37" Type="http://schemas.openxmlformats.org/officeDocument/2006/relationships/hyperlink" Target="http://www.coventry.ac.uk/" TargetMode="External"/><Relationship Id="rId53" Type="http://schemas.openxmlformats.org/officeDocument/2006/relationships/hyperlink" Target="http://www.gla.ac.uk/" TargetMode="External"/><Relationship Id="rId58" Type="http://schemas.openxmlformats.org/officeDocument/2006/relationships/hyperlink" Target="http://www.gre.ac.uk/" TargetMode="External"/><Relationship Id="rId74" Type="http://schemas.openxmlformats.org/officeDocument/2006/relationships/hyperlink" Target="http://www.kingston.ac.uk/" TargetMode="External"/><Relationship Id="rId79" Type="http://schemas.openxmlformats.org/officeDocument/2006/relationships/hyperlink" Target="http://www.leeds-art.ac.uk/" TargetMode="External"/><Relationship Id="rId102" Type="http://schemas.openxmlformats.org/officeDocument/2006/relationships/hyperlink" Target="http://www.northampton.ac.uk/" TargetMode="External"/><Relationship Id="rId123" Type="http://schemas.openxmlformats.org/officeDocument/2006/relationships/hyperlink" Target="http://www.rau.ac.uk/" TargetMode="External"/><Relationship Id="rId128" Type="http://schemas.openxmlformats.org/officeDocument/2006/relationships/hyperlink" Target="http://www.rcs.ac.uk/" TargetMode="External"/><Relationship Id="rId144" Type="http://schemas.openxmlformats.org/officeDocument/2006/relationships/hyperlink" Target="http://www.external.stir.ac.uk/" TargetMode="External"/><Relationship Id="rId149" Type="http://schemas.openxmlformats.org/officeDocument/2006/relationships/hyperlink" Target="http://www.sussex.ac.uk/" TargetMode="External"/><Relationship Id="rId5" Type="http://schemas.openxmlformats.org/officeDocument/2006/relationships/hyperlink" Target="http://www.aecc.ac.uk/" TargetMode="External"/><Relationship Id="rId90" Type="http://schemas.openxmlformats.org/officeDocument/2006/relationships/hyperlink" Target="http://www.londonmet.ac.uk/" TargetMode="External"/><Relationship Id="rId95" Type="http://schemas.openxmlformats.org/officeDocument/2006/relationships/hyperlink" Target="http://www.lboro.ac.uk/" TargetMode="External"/><Relationship Id="rId160" Type="http://schemas.openxmlformats.org/officeDocument/2006/relationships/hyperlink" Target="http://www2.warwick.ac.uk/" TargetMode="External"/><Relationship Id="rId165" Type="http://schemas.openxmlformats.org/officeDocument/2006/relationships/hyperlink" Target="http://www.winchester.ac.uk/" TargetMode="External"/><Relationship Id="rId22" Type="http://schemas.openxmlformats.org/officeDocument/2006/relationships/hyperlink" Target="http://www.bppuniversity.ac.uk/" TargetMode="External"/><Relationship Id="rId27" Type="http://schemas.openxmlformats.org/officeDocument/2006/relationships/hyperlink" Target="http://www.buckingham.ac.uk/" TargetMode="External"/><Relationship Id="rId43" Type="http://schemas.openxmlformats.org/officeDocument/2006/relationships/hyperlink" Target="http://www.dundee.ac.uk/" TargetMode="External"/><Relationship Id="rId48" Type="http://schemas.openxmlformats.org/officeDocument/2006/relationships/hyperlink" Target="http://www.ed.ac.uk/" TargetMode="External"/><Relationship Id="rId64" Type="http://schemas.openxmlformats.org/officeDocument/2006/relationships/hyperlink" Target="http://www.heythrop.ac.uk/" TargetMode="External"/><Relationship Id="rId69" Type="http://schemas.openxmlformats.org/officeDocument/2006/relationships/hyperlink" Target="http://www.icr.ac.uk/" TargetMode="External"/><Relationship Id="rId113" Type="http://schemas.openxmlformats.org/officeDocument/2006/relationships/hyperlink" Target="http://www.qmul.ac.uk/" TargetMode="External"/><Relationship Id="rId118" Type="http://schemas.openxmlformats.org/officeDocument/2006/relationships/hyperlink" Target="https://www.richmond.ac.uk/" TargetMode="External"/><Relationship Id="rId134" Type="http://schemas.openxmlformats.org/officeDocument/2006/relationships/hyperlink" Target="http://www.shef.ac.uk/" TargetMode="External"/><Relationship Id="rId139" Type="http://schemas.openxmlformats.org/officeDocument/2006/relationships/hyperlink" Target="http://www.st-andrews.ac.uk/" TargetMode="External"/><Relationship Id="rId80" Type="http://schemas.openxmlformats.org/officeDocument/2006/relationships/hyperlink" Target="http://www.leedstrinity.ac.uk/" TargetMode="External"/><Relationship Id="rId85" Type="http://schemas.openxmlformats.org/officeDocument/2006/relationships/hyperlink" Target="http://www.ljmu.ac.uk/" TargetMode="External"/><Relationship Id="rId150" Type="http://schemas.openxmlformats.org/officeDocument/2006/relationships/hyperlink" Target="http://www.swan.ac.uk/" TargetMode="External"/><Relationship Id="rId155" Type="http://schemas.openxmlformats.org/officeDocument/2006/relationships/hyperlink" Target="https://www.uco.ac.uk/" TargetMode="External"/><Relationship Id="rId171" Type="http://schemas.openxmlformats.org/officeDocument/2006/relationships/hyperlink" Target="http://www.blackpool.ac.uk/" TargetMode="External"/><Relationship Id="rId176" Type="http://schemas.openxmlformats.org/officeDocument/2006/relationships/hyperlink" Target="http://www.newcollegedurham.ac.uk/" TargetMode="External"/><Relationship Id="rId12" Type="http://schemas.openxmlformats.org/officeDocument/2006/relationships/hyperlink" Target="http://www.bathspa.ac.uk/" TargetMode="External"/><Relationship Id="rId17" Type="http://schemas.openxmlformats.org/officeDocument/2006/relationships/hyperlink" Target="http://www.ucb.ac.uk/" TargetMode="External"/><Relationship Id="rId33" Type="http://schemas.openxmlformats.org/officeDocument/2006/relationships/hyperlink" Target="http://www.chester.ac.uk/" TargetMode="External"/><Relationship Id="rId38" Type="http://schemas.openxmlformats.org/officeDocument/2006/relationships/hyperlink" Target="http://www.cranfield.ac.uk/" TargetMode="External"/><Relationship Id="rId59" Type="http://schemas.openxmlformats.org/officeDocument/2006/relationships/hyperlink" Target="http://www.gsmd.ac.uk/" TargetMode="External"/><Relationship Id="rId103" Type="http://schemas.openxmlformats.org/officeDocument/2006/relationships/hyperlink" Target="http://northumbria.ac.uk/" TargetMode="External"/><Relationship Id="rId108" Type="http://schemas.openxmlformats.org/officeDocument/2006/relationships/hyperlink" Target="http://www.ox.ac.uk/" TargetMode="External"/><Relationship Id="rId124" Type="http://schemas.openxmlformats.org/officeDocument/2006/relationships/hyperlink" Target="http://www.cssd.ac.uk/" TargetMode="External"/><Relationship Id="rId129" Type="http://schemas.openxmlformats.org/officeDocument/2006/relationships/hyperlink" Target="https://www.royalholloway.ac.uk/home.aspx" TargetMode="External"/><Relationship Id="rId54" Type="http://schemas.openxmlformats.org/officeDocument/2006/relationships/hyperlink" Target="http://www.gcal.ac.uk/" TargetMode="External"/><Relationship Id="rId70" Type="http://schemas.openxmlformats.org/officeDocument/2006/relationships/hyperlink" Target="http://www.ioe.ac.uk/" TargetMode="External"/><Relationship Id="rId75" Type="http://schemas.openxmlformats.org/officeDocument/2006/relationships/hyperlink" Target="http://www.uclan.ac.uk/" TargetMode="External"/><Relationship Id="rId91" Type="http://schemas.openxmlformats.org/officeDocument/2006/relationships/hyperlink" Target="http://www.lshtm.ac.uk/" TargetMode="External"/><Relationship Id="rId96" Type="http://schemas.openxmlformats.org/officeDocument/2006/relationships/hyperlink" Target="http://www.manchester.ac.uk/" TargetMode="External"/><Relationship Id="rId140" Type="http://schemas.openxmlformats.org/officeDocument/2006/relationships/hyperlink" Target="http://www.sgul.ac.uk/" TargetMode="External"/><Relationship Id="rId145" Type="http://schemas.openxmlformats.org/officeDocument/2006/relationships/hyperlink" Target="http://www.strath.ac.uk/" TargetMode="External"/><Relationship Id="rId161" Type="http://schemas.openxmlformats.org/officeDocument/2006/relationships/hyperlink" Target="http://www.uwe.ac.uk/" TargetMode="External"/><Relationship Id="rId166" Type="http://schemas.openxmlformats.org/officeDocument/2006/relationships/hyperlink" Target="http://www.wlv.ac.uk/" TargetMode="External"/><Relationship Id="rId1" Type="http://schemas.openxmlformats.org/officeDocument/2006/relationships/hyperlink" Target="http://www.abdn.ac.uk/" TargetMode="External"/><Relationship Id="rId6" Type="http://schemas.openxmlformats.org/officeDocument/2006/relationships/hyperlink" Target="http://www.archbishopofcanterbury.org/" TargetMode="External"/><Relationship Id="rId23" Type="http://schemas.openxmlformats.org/officeDocument/2006/relationships/hyperlink" Target="http://www.bradford.ac.uk/" TargetMode="External"/><Relationship Id="rId28" Type="http://schemas.openxmlformats.org/officeDocument/2006/relationships/hyperlink" Target="http://bucks.ac.uk/" TargetMode="External"/><Relationship Id="rId49" Type="http://schemas.openxmlformats.org/officeDocument/2006/relationships/hyperlink" Target="http://www.napier.ac.uk/" TargetMode="External"/><Relationship Id="rId114" Type="http://schemas.openxmlformats.org/officeDocument/2006/relationships/hyperlink" Target="http://www.qub.ac.uk/" TargetMode="External"/><Relationship Id="rId119" Type="http://schemas.openxmlformats.org/officeDocument/2006/relationships/hyperlink" Target="http://www.rgu.ac.uk/" TargetMode="External"/><Relationship Id="rId10" Type="http://schemas.openxmlformats.org/officeDocument/2006/relationships/hyperlink" Target="http://www.bangor.ac.uk/" TargetMode="External"/><Relationship Id="rId31" Type="http://schemas.openxmlformats.org/officeDocument/2006/relationships/hyperlink" Target="http://www.cardiffmet.ac.uk/Pages/home.aspx" TargetMode="External"/><Relationship Id="rId44" Type="http://schemas.openxmlformats.org/officeDocument/2006/relationships/hyperlink" Target="http://www.dur.ac.uk/" TargetMode="External"/><Relationship Id="rId52" Type="http://schemas.openxmlformats.org/officeDocument/2006/relationships/hyperlink" Target="http://www.falmouth.ac.uk/" TargetMode="External"/><Relationship Id="rId60" Type="http://schemas.openxmlformats.org/officeDocument/2006/relationships/hyperlink" Target="http://www.harper-adams.ac.uk/" TargetMode="External"/><Relationship Id="rId65" Type="http://schemas.openxmlformats.org/officeDocument/2006/relationships/hyperlink" Target="http://www.uhi.ac.uk/" TargetMode="External"/><Relationship Id="rId73" Type="http://schemas.openxmlformats.org/officeDocument/2006/relationships/hyperlink" Target="http://www.kcl.ac.uk/" TargetMode="External"/><Relationship Id="rId78" Type="http://schemas.openxmlformats.org/officeDocument/2006/relationships/hyperlink" Target="http://www.lmu.ac.uk/" TargetMode="External"/><Relationship Id="rId81" Type="http://schemas.openxmlformats.org/officeDocument/2006/relationships/hyperlink" Target="http://www.le.ac.uk/" TargetMode="External"/><Relationship Id="rId86" Type="http://schemas.openxmlformats.org/officeDocument/2006/relationships/hyperlink" Target="http://www.lstmed.ac.uk/" TargetMode="External"/><Relationship Id="rId94" Type="http://schemas.openxmlformats.org/officeDocument/2006/relationships/hyperlink" Target="http://www.ucl.ac.uk/" TargetMode="External"/><Relationship Id="rId99" Type="http://schemas.openxmlformats.org/officeDocument/2006/relationships/hyperlink" Target="http://www.ncgrp.co.uk/" TargetMode="External"/><Relationship Id="rId101" Type="http://schemas.openxmlformats.org/officeDocument/2006/relationships/hyperlink" Target="http://www.newman.ac.uk/" TargetMode="External"/><Relationship Id="rId122" Type="http://schemas.openxmlformats.org/officeDocument/2006/relationships/hyperlink" Target="http://www.ram.ac.uk/" TargetMode="External"/><Relationship Id="rId130" Type="http://schemas.openxmlformats.org/officeDocument/2006/relationships/hyperlink" Target="http://www.rncm.ac.uk/" TargetMode="External"/><Relationship Id="rId135" Type="http://schemas.openxmlformats.org/officeDocument/2006/relationships/hyperlink" Target="http://www.shu.ac.uk/" TargetMode="External"/><Relationship Id="rId143" Type="http://schemas.openxmlformats.org/officeDocument/2006/relationships/hyperlink" Target="http://www.staffs.ac.uk/" TargetMode="External"/><Relationship Id="rId148" Type="http://schemas.openxmlformats.org/officeDocument/2006/relationships/hyperlink" Target="http://www.surrey.ac.uk/" TargetMode="External"/><Relationship Id="rId151" Type="http://schemas.openxmlformats.org/officeDocument/2006/relationships/hyperlink" Target="http://www.tees.ac.uk/" TargetMode="External"/><Relationship Id="rId156" Type="http://schemas.openxmlformats.org/officeDocument/2006/relationships/hyperlink" Target="http://www.law.ac.uk/" TargetMode="External"/><Relationship Id="rId164" Type="http://schemas.openxmlformats.org/officeDocument/2006/relationships/hyperlink" Target="http://www.westminster.ac.uk/" TargetMode="External"/><Relationship Id="rId169" Type="http://schemas.openxmlformats.org/officeDocument/2006/relationships/hyperlink" Target="http://www.york.ac.uk/" TargetMode="External"/><Relationship Id="rId177" Type="http://schemas.openxmlformats.org/officeDocument/2006/relationships/hyperlink" Target="http://www.ncl-coll.ac.uk/" TargetMode="External"/><Relationship Id="rId4" Type="http://schemas.openxmlformats.org/officeDocument/2006/relationships/hyperlink" Target="http://www.anglia.ac.uk/" TargetMode="External"/><Relationship Id="rId9" Type="http://schemas.openxmlformats.org/officeDocument/2006/relationships/hyperlink" Target="http://www.aston.ac.uk/" TargetMode="External"/><Relationship Id="rId172" Type="http://schemas.openxmlformats.org/officeDocument/2006/relationships/hyperlink" Target="https://www.cornwall.ac.uk/university-hub/index.html" TargetMode="External"/><Relationship Id="rId180" Type="http://schemas.openxmlformats.org/officeDocument/2006/relationships/printerSettings" Target="../printerSettings/printerSettings6.bin"/><Relationship Id="rId13" Type="http://schemas.openxmlformats.org/officeDocument/2006/relationships/hyperlink" Target="http://www.beds.ac.uk/" TargetMode="External"/><Relationship Id="rId18" Type="http://schemas.openxmlformats.org/officeDocument/2006/relationships/hyperlink" Target="http://www.bishopg.ac.uk/" TargetMode="External"/><Relationship Id="rId39" Type="http://schemas.openxmlformats.org/officeDocument/2006/relationships/hyperlink" Target="http://www.uca.ac.uk/" TargetMode="External"/><Relationship Id="rId109" Type="http://schemas.openxmlformats.org/officeDocument/2006/relationships/hyperlink" Target="http://www.brookes.ac.uk/" TargetMode="External"/><Relationship Id="rId34" Type="http://schemas.openxmlformats.org/officeDocument/2006/relationships/hyperlink" Target="https://www.chi.ac.uk/" TargetMode="External"/><Relationship Id="rId50" Type="http://schemas.openxmlformats.org/officeDocument/2006/relationships/hyperlink" Target="http://www.essex.ac.uk/" TargetMode="External"/><Relationship Id="rId55" Type="http://schemas.openxmlformats.org/officeDocument/2006/relationships/hyperlink" Target="http://www.glos.ac.uk/" TargetMode="External"/><Relationship Id="rId76" Type="http://schemas.openxmlformats.org/officeDocument/2006/relationships/hyperlink" Target="http://www.lancs.ac.uk/" TargetMode="External"/><Relationship Id="rId97" Type="http://schemas.openxmlformats.org/officeDocument/2006/relationships/hyperlink" Target="http://www.mmu.ac.uk/" TargetMode="External"/><Relationship Id="rId104" Type="http://schemas.openxmlformats.org/officeDocument/2006/relationships/hyperlink" Target="https://www.nua.ac.uk/" TargetMode="External"/><Relationship Id="rId120" Type="http://schemas.openxmlformats.org/officeDocument/2006/relationships/hyperlink" Target="http://www.roehampton.ac.uk/" TargetMode="External"/><Relationship Id="rId125" Type="http://schemas.openxmlformats.org/officeDocument/2006/relationships/hyperlink" Target="http://www.rca.ac.uk/" TargetMode="External"/><Relationship Id="rId141" Type="http://schemas.openxmlformats.org/officeDocument/2006/relationships/hyperlink" Target="http://www.marjon.ac.uk/" TargetMode="External"/><Relationship Id="rId146" Type="http://schemas.openxmlformats.org/officeDocument/2006/relationships/hyperlink" Target="https://www.uos.ac.uk/" TargetMode="External"/><Relationship Id="rId167" Type="http://schemas.openxmlformats.org/officeDocument/2006/relationships/hyperlink" Target="http://www.worcester.ac.uk/" TargetMode="External"/><Relationship Id="rId7" Type="http://schemas.openxmlformats.org/officeDocument/2006/relationships/hyperlink" Target="http://www.arden.ac.uk/" TargetMode="External"/><Relationship Id="rId71" Type="http://schemas.openxmlformats.org/officeDocument/2006/relationships/hyperlink" Target="http://www.keele.ac.uk/" TargetMode="External"/><Relationship Id="rId92" Type="http://schemas.openxmlformats.org/officeDocument/2006/relationships/hyperlink" Target="http://www.lse.ac.uk/" TargetMode="External"/><Relationship Id="rId162" Type="http://schemas.openxmlformats.org/officeDocument/2006/relationships/hyperlink" Target="http://www.uwl.ac.uk/" TargetMode="External"/><Relationship Id="rId2" Type="http://schemas.openxmlformats.org/officeDocument/2006/relationships/hyperlink" Target="http://www.abertay.ac.uk/" TargetMode="External"/><Relationship Id="rId29" Type="http://schemas.openxmlformats.org/officeDocument/2006/relationships/hyperlink" Target="http://www.cam.ac.uk/" TargetMode="External"/><Relationship Id="rId24" Type="http://schemas.openxmlformats.org/officeDocument/2006/relationships/hyperlink" Target="http://www.brighton.ac.uk/" TargetMode="External"/><Relationship Id="rId40" Type="http://schemas.openxmlformats.org/officeDocument/2006/relationships/hyperlink" Target="http://www.cumbria.ac.uk/" TargetMode="External"/><Relationship Id="rId45" Type="http://schemas.openxmlformats.org/officeDocument/2006/relationships/hyperlink" Target="http://www.uea.ac.uk/" TargetMode="External"/><Relationship Id="rId66" Type="http://schemas.openxmlformats.org/officeDocument/2006/relationships/hyperlink" Target="http://www.hud.ac.uk/" TargetMode="External"/><Relationship Id="rId87" Type="http://schemas.openxmlformats.org/officeDocument/2006/relationships/hyperlink" Target="http://www.lon.ac.uk/" TargetMode="External"/><Relationship Id="rId110" Type="http://schemas.openxmlformats.org/officeDocument/2006/relationships/hyperlink" Target="http://www.plymouth.ac.uk/" TargetMode="External"/><Relationship Id="rId115" Type="http://schemas.openxmlformats.org/officeDocument/2006/relationships/hyperlink" Target="https://www.ravensbourne.ac.uk/" TargetMode="External"/><Relationship Id="rId131" Type="http://schemas.openxmlformats.org/officeDocument/2006/relationships/hyperlink" Target="http://www.rvc.ac.uk/" TargetMode="External"/><Relationship Id="rId136" Type="http://schemas.openxmlformats.org/officeDocument/2006/relationships/hyperlink" Target="http://www.southwales.ac.uk/" TargetMode="External"/><Relationship Id="rId157" Type="http://schemas.openxmlformats.org/officeDocument/2006/relationships/hyperlink" Target="http://www.ulster.ac.uk/" TargetMode="External"/><Relationship Id="rId178" Type="http://schemas.openxmlformats.org/officeDocument/2006/relationships/hyperlink" Target="http://www.warwickshire.ac.uk/" TargetMode="External"/><Relationship Id="rId61" Type="http://schemas.openxmlformats.org/officeDocument/2006/relationships/hyperlink" Target="http://www.hartpury.ac.uk/" TargetMode="External"/><Relationship Id="rId82" Type="http://schemas.openxmlformats.org/officeDocument/2006/relationships/hyperlink" Target="http://www.lincoln.ac.uk/" TargetMode="External"/><Relationship Id="rId152" Type="http://schemas.openxmlformats.org/officeDocument/2006/relationships/hyperlink" Target="http://www.trinitylaban.ac.uk/" TargetMode="External"/><Relationship Id="rId173" Type="http://schemas.openxmlformats.org/officeDocument/2006/relationships/hyperlink" Target="http://www.grimsby.ac.uk/" TargetMode="External"/><Relationship Id="rId19" Type="http://schemas.openxmlformats.org/officeDocument/2006/relationships/hyperlink" Target="http://www.bolton.ac.uk/" TargetMode="External"/><Relationship Id="rId14" Type="http://schemas.openxmlformats.org/officeDocument/2006/relationships/hyperlink" Target="http://www.bbk.ac.uk/" TargetMode="External"/><Relationship Id="rId30" Type="http://schemas.openxmlformats.org/officeDocument/2006/relationships/hyperlink" Target="http://www.canterbury.ac.uk/" TargetMode="External"/><Relationship Id="rId35" Type="http://schemas.openxmlformats.org/officeDocument/2006/relationships/hyperlink" Target="http://www.city.ac.uk/" TargetMode="External"/><Relationship Id="rId56" Type="http://schemas.openxmlformats.org/officeDocument/2006/relationships/hyperlink" Target="http://www.glyndwr.ac.uk/" TargetMode="External"/><Relationship Id="rId77" Type="http://schemas.openxmlformats.org/officeDocument/2006/relationships/hyperlink" Target="http://www.leeds.ac.uk/" TargetMode="External"/><Relationship Id="rId100" Type="http://schemas.openxmlformats.org/officeDocument/2006/relationships/hyperlink" Target="http://www.ncl.ac.uk/" TargetMode="External"/><Relationship Id="rId105" Type="http://schemas.openxmlformats.org/officeDocument/2006/relationships/hyperlink" Target="http://www.nottingham.ac.uk/" TargetMode="External"/><Relationship Id="rId126" Type="http://schemas.openxmlformats.org/officeDocument/2006/relationships/hyperlink" Target="http://www.rcm.ac.uk/" TargetMode="External"/><Relationship Id="rId147" Type="http://schemas.openxmlformats.org/officeDocument/2006/relationships/hyperlink" Target="http://www.sunderland.ac.uk/" TargetMode="External"/><Relationship Id="rId168" Type="http://schemas.openxmlformats.org/officeDocument/2006/relationships/hyperlink" Target="http://writtle.ac.uk/" TargetMode="External"/><Relationship Id="rId8" Type="http://schemas.openxmlformats.org/officeDocument/2006/relationships/hyperlink" Target="http://www.ashridge.org.uk/" TargetMode="External"/><Relationship Id="rId51" Type="http://schemas.openxmlformats.org/officeDocument/2006/relationships/hyperlink" Target="http://www.ex.ac.uk/" TargetMode="External"/><Relationship Id="rId72" Type="http://schemas.openxmlformats.org/officeDocument/2006/relationships/hyperlink" Target="http://www.kent.ac.uk/" TargetMode="External"/><Relationship Id="rId93" Type="http://schemas.openxmlformats.org/officeDocument/2006/relationships/hyperlink" Target="http://www.lsbu.ac.uk/" TargetMode="External"/><Relationship Id="rId98" Type="http://schemas.openxmlformats.org/officeDocument/2006/relationships/hyperlink" Target="http://www.mdx.ac.uk/" TargetMode="External"/><Relationship Id="rId121" Type="http://schemas.openxmlformats.org/officeDocument/2006/relationships/hyperlink" Target="https://www.bruford.ac.uk/" TargetMode="External"/><Relationship Id="rId142" Type="http://schemas.openxmlformats.org/officeDocument/2006/relationships/hyperlink" Target="http://www.stmarys.ac.uk/" TargetMode="External"/><Relationship Id="rId163" Type="http://schemas.openxmlformats.org/officeDocument/2006/relationships/hyperlink" Target="http://www.uws.ac.uk/" TargetMode="External"/><Relationship Id="rId3" Type="http://schemas.openxmlformats.org/officeDocument/2006/relationships/hyperlink" Target="http://www.aber.ac.uk/" TargetMode="External"/><Relationship Id="rId25" Type="http://schemas.openxmlformats.org/officeDocument/2006/relationships/hyperlink" Target="http://www.bris.ac.uk/" TargetMode="External"/><Relationship Id="rId46" Type="http://schemas.openxmlformats.org/officeDocument/2006/relationships/hyperlink" Target="http://www.uel.ac.uk/" TargetMode="External"/><Relationship Id="rId67" Type="http://schemas.openxmlformats.org/officeDocument/2006/relationships/hyperlink" Target="http://www.hull.ac.uk/" TargetMode="External"/><Relationship Id="rId116" Type="http://schemas.openxmlformats.org/officeDocument/2006/relationships/hyperlink" Target="http://www.reading.ac.uk/" TargetMode="External"/><Relationship Id="rId137" Type="http://schemas.openxmlformats.org/officeDocument/2006/relationships/hyperlink" Target="http://www.soton.ac.uk/" TargetMode="External"/><Relationship Id="rId158" Type="http://schemas.openxmlformats.org/officeDocument/2006/relationships/hyperlink" Target="http://www.wales.ac.uk/" TargetMode="External"/><Relationship Id="rId20" Type="http://schemas.openxmlformats.org/officeDocument/2006/relationships/hyperlink" Target="http://aub.ac.uk/" TargetMode="External"/><Relationship Id="rId41" Type="http://schemas.openxmlformats.org/officeDocument/2006/relationships/hyperlink" Target="http://www.dmu.ac.uk/" TargetMode="External"/><Relationship Id="rId62" Type="http://schemas.openxmlformats.org/officeDocument/2006/relationships/hyperlink" Target="http://www.hw.ac.uk/" TargetMode="External"/><Relationship Id="rId83" Type="http://schemas.openxmlformats.org/officeDocument/2006/relationships/hyperlink" Target="http://www.liv.ac.uk/" TargetMode="External"/><Relationship Id="rId88" Type="http://schemas.openxmlformats.org/officeDocument/2006/relationships/hyperlink" Target="http://www.london.edu/" TargetMode="External"/><Relationship Id="rId111" Type="http://schemas.openxmlformats.org/officeDocument/2006/relationships/hyperlink" Target="http://www.port.ac.uk/" TargetMode="External"/><Relationship Id="rId132" Type="http://schemas.openxmlformats.org/officeDocument/2006/relationships/hyperlink" Target="http://www.salford.ac.uk/" TargetMode="External"/><Relationship Id="rId153" Type="http://schemas.openxmlformats.org/officeDocument/2006/relationships/hyperlink" Target="http://www.arts.ac.uk/" TargetMode="External"/><Relationship Id="rId174" Type="http://schemas.openxmlformats.org/officeDocument/2006/relationships/hyperlink" Target="http://www.hull-college.ac.uk/" TargetMode="External"/><Relationship Id="rId179" Type="http://schemas.openxmlformats.org/officeDocument/2006/relationships/hyperlink" Target="https://www.gov.uk/check-a-university-is-officially-recognised/recognised-bodies" TargetMode="External"/><Relationship Id="rId15" Type="http://schemas.openxmlformats.org/officeDocument/2006/relationships/hyperlink" Target="http://www.bham.ac.uk/" TargetMode="External"/><Relationship Id="rId36" Type="http://schemas.openxmlformats.org/officeDocument/2006/relationships/hyperlink" Target="http://www.courtauld.ac.uk/" TargetMode="External"/><Relationship Id="rId57" Type="http://schemas.openxmlformats.org/officeDocument/2006/relationships/hyperlink" Target="http://www.goldsmiths.ac.uk/" TargetMode="External"/><Relationship Id="rId106" Type="http://schemas.openxmlformats.org/officeDocument/2006/relationships/hyperlink" Target="http://www.ntu.ac.uk/" TargetMode="External"/><Relationship Id="rId127" Type="http://schemas.openxmlformats.org/officeDocument/2006/relationships/hyperlink" Target="http://www.rcn.org.uk/"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AS63"/>
  <sheetViews>
    <sheetView tabSelected="1" zoomScale="75" zoomScaleNormal="75" workbookViewId="0">
      <selection activeCell="R2" sqref="R2:S2"/>
    </sheetView>
  </sheetViews>
  <sheetFormatPr defaultRowHeight="15.75" x14ac:dyDescent="0.25"/>
  <cols>
    <col min="1" max="1" width="1.7109375" customWidth="1"/>
    <col min="2" max="2" width="6.28515625" style="6" customWidth="1"/>
    <col min="3" max="3" width="11.28515625" style="6" customWidth="1"/>
    <col min="4" max="4" width="11.140625" style="6" customWidth="1"/>
    <col min="5" max="5" width="14.140625" style="6" customWidth="1"/>
    <col min="6" max="6" width="0" style="6" hidden="1" customWidth="1"/>
    <col min="7" max="7" width="6.28515625" style="6" customWidth="1"/>
    <col min="8" max="8" width="57.7109375" style="6" customWidth="1"/>
    <col min="9" max="9" width="1.7109375" customWidth="1"/>
    <col min="10" max="15" width="10.7109375" style="759" customWidth="1"/>
    <col min="16" max="16" width="7.7109375" style="759" customWidth="1"/>
    <col min="17" max="19" width="9.7109375" style="759" customWidth="1"/>
    <col min="20" max="20" width="4" style="472" customWidth="1"/>
    <col min="21" max="26" width="8.85546875" style="468"/>
    <col min="27" max="45" width="8.85546875" style="3"/>
  </cols>
  <sheetData>
    <row r="1" spans="1:29" ht="19.149999999999999" customHeight="1" x14ac:dyDescent="0.25">
      <c r="A1" s="770"/>
      <c r="B1" s="771"/>
      <c r="C1" s="771"/>
      <c r="D1" s="771"/>
      <c r="E1" s="771"/>
      <c r="F1" s="771"/>
      <c r="G1" s="771"/>
      <c r="H1" s="771"/>
      <c r="I1" s="770"/>
      <c r="J1" s="775"/>
      <c r="K1" s="765"/>
      <c r="L1" s="765"/>
      <c r="M1" s="765"/>
      <c r="N1" s="765"/>
      <c r="O1" s="765"/>
      <c r="P1" s="765"/>
      <c r="Q1" s="765"/>
      <c r="R1" s="765"/>
      <c r="S1" s="765"/>
      <c r="T1" s="765"/>
    </row>
    <row r="2" spans="1:29" ht="18" customHeight="1" x14ac:dyDescent="0.25">
      <c r="A2" s="770"/>
      <c r="B2" s="1382" t="s">
        <v>959</v>
      </c>
      <c r="C2" s="1383"/>
      <c r="D2" s="1383"/>
      <c r="E2" s="1383"/>
      <c r="F2" s="1383"/>
      <c r="G2" s="1383"/>
      <c r="H2" s="1384"/>
      <c r="I2" s="725"/>
      <c r="J2" s="773" t="s">
        <v>956</v>
      </c>
      <c r="K2" s="763"/>
      <c r="L2" s="763"/>
      <c r="M2" s="763"/>
      <c r="N2" s="763"/>
      <c r="O2" s="763"/>
      <c r="P2" s="763"/>
      <c r="Q2" s="763"/>
      <c r="R2" s="1392" t="s">
        <v>994</v>
      </c>
      <c r="S2" s="1392"/>
      <c r="T2" s="765"/>
      <c r="U2" s="350"/>
      <c r="V2" s="350"/>
    </row>
    <row r="3" spans="1:29" ht="18" customHeight="1" x14ac:dyDescent="0.25">
      <c r="A3" s="770"/>
      <c r="B3" s="1031" t="s">
        <v>503</v>
      </c>
      <c r="C3" s="726" t="s">
        <v>25</v>
      </c>
      <c r="D3" s="727" t="s">
        <v>5</v>
      </c>
      <c r="E3" s="727" t="s">
        <v>504</v>
      </c>
      <c r="F3" s="727"/>
      <c r="G3" s="727" t="s">
        <v>505</v>
      </c>
      <c r="H3" s="1028" t="s">
        <v>506</v>
      </c>
      <c r="I3" s="725"/>
      <c r="J3" s="1393" t="s">
        <v>1137</v>
      </c>
      <c r="K3" s="1393"/>
      <c r="L3" s="1393"/>
      <c r="M3" s="1393"/>
      <c r="N3" s="1393"/>
      <c r="O3" s="1393"/>
      <c r="P3" s="1393"/>
      <c r="Q3" s="1393"/>
      <c r="R3" s="1393"/>
      <c r="S3" s="1393"/>
      <c r="T3" s="766"/>
      <c r="U3" s="709"/>
      <c r="V3" s="709"/>
      <c r="W3" s="709"/>
      <c r="X3" s="709"/>
      <c r="Y3" s="709"/>
      <c r="Z3" s="709"/>
      <c r="AA3" s="709"/>
      <c r="AB3" s="709"/>
      <c r="AC3" s="709"/>
    </row>
    <row r="4" spans="1:29" ht="18" customHeight="1" x14ac:dyDescent="0.25">
      <c r="A4" s="770"/>
      <c r="B4" s="728" t="s">
        <v>975</v>
      </c>
      <c r="C4" s="729"/>
      <c r="D4" s="729"/>
      <c r="E4" s="729"/>
      <c r="F4" s="729"/>
      <c r="G4" s="764"/>
      <c r="H4" s="45"/>
      <c r="I4" s="725"/>
      <c r="J4" s="1393"/>
      <c r="K4" s="1393"/>
      <c r="L4" s="1393"/>
      <c r="M4" s="1393"/>
      <c r="N4" s="1393"/>
      <c r="O4" s="1393"/>
      <c r="P4" s="1393"/>
      <c r="Q4" s="1393"/>
      <c r="R4" s="1393"/>
      <c r="S4" s="1393"/>
      <c r="T4" s="766"/>
      <c r="U4" s="709"/>
      <c r="V4" s="709"/>
      <c r="W4" s="709"/>
      <c r="X4" s="709"/>
      <c r="Y4" s="709"/>
      <c r="Z4" s="709"/>
      <c r="AA4" s="709"/>
      <c r="AB4" s="709"/>
      <c r="AC4" s="709"/>
    </row>
    <row r="5" spans="1:29" ht="18" customHeight="1" x14ac:dyDescent="0.25">
      <c r="A5" s="770"/>
      <c r="B5" s="1032">
        <v>1</v>
      </c>
      <c r="C5" s="731">
        <v>360</v>
      </c>
      <c r="D5" s="732">
        <v>0</v>
      </c>
      <c r="E5" s="717" t="s">
        <v>17</v>
      </c>
      <c r="F5" s="733"/>
      <c r="G5" s="733">
        <v>2</v>
      </c>
      <c r="H5" s="734" t="s">
        <v>909</v>
      </c>
      <c r="I5" s="725"/>
      <c r="J5" s="1393"/>
      <c r="K5" s="1393"/>
      <c r="L5" s="1393"/>
      <c r="M5" s="1393"/>
      <c r="N5" s="1393"/>
      <c r="O5" s="1393"/>
      <c r="P5" s="1393"/>
      <c r="Q5" s="1393"/>
      <c r="R5" s="1393"/>
      <c r="S5" s="1393"/>
      <c r="T5" s="766"/>
      <c r="U5" s="709"/>
      <c r="V5" s="709"/>
      <c r="W5" s="709"/>
      <c r="X5" s="709"/>
      <c r="Y5" s="709"/>
      <c r="Z5" s="709"/>
      <c r="AA5" s="709"/>
      <c r="AB5" s="709"/>
      <c r="AC5" s="709"/>
    </row>
    <row r="6" spans="1:29" ht="18" customHeight="1" x14ac:dyDescent="0.25">
      <c r="A6" s="770"/>
      <c r="B6" s="1034">
        <v>2</v>
      </c>
      <c r="C6" s="735">
        <v>360</v>
      </c>
      <c r="D6" s="736">
        <v>0</v>
      </c>
      <c r="E6" s="737" t="s">
        <v>38</v>
      </c>
      <c r="F6" s="738"/>
      <c r="G6" s="738">
        <v>2</v>
      </c>
      <c r="H6" s="739" t="s">
        <v>599</v>
      </c>
      <c r="I6" s="725"/>
      <c r="J6" s="1393"/>
      <c r="K6" s="1393"/>
      <c r="L6" s="1393"/>
      <c r="M6" s="1393"/>
      <c r="N6" s="1393"/>
      <c r="O6" s="1393"/>
      <c r="P6" s="1393"/>
      <c r="Q6" s="1393"/>
      <c r="R6" s="1393"/>
      <c r="S6" s="1393"/>
      <c r="T6" s="767"/>
      <c r="U6" s="710"/>
      <c r="V6" s="709"/>
      <c r="W6" s="709"/>
      <c r="X6" s="709"/>
      <c r="Y6" s="709"/>
      <c r="Z6" s="709"/>
      <c r="AA6" s="709"/>
      <c r="AB6" s="709"/>
      <c r="AC6" s="709"/>
    </row>
    <row r="7" spans="1:29" ht="18" customHeight="1" x14ac:dyDescent="0.25">
      <c r="A7" s="770"/>
      <c r="B7" s="728" t="s">
        <v>976</v>
      </c>
      <c r="C7" s="53"/>
      <c r="D7" s="740"/>
      <c r="E7" s="53"/>
      <c r="F7" s="53"/>
      <c r="G7" s="764"/>
      <c r="H7" s="48"/>
      <c r="I7" s="725"/>
      <c r="J7" s="1395" t="s">
        <v>1008</v>
      </c>
      <c r="K7" s="1395"/>
      <c r="L7" s="1395"/>
      <c r="M7" s="1395"/>
      <c r="N7" s="1395"/>
      <c r="O7" s="1395"/>
      <c r="P7" s="1395"/>
      <c r="Q7" s="1395"/>
      <c r="R7" s="1395"/>
      <c r="S7" s="1395"/>
      <c r="T7" s="767"/>
      <c r="U7" s="710"/>
      <c r="V7" s="710"/>
      <c r="W7" s="710"/>
      <c r="X7" s="710"/>
      <c r="Y7" s="710"/>
      <c r="Z7" s="710"/>
      <c r="AA7" s="710"/>
      <c r="AB7" s="710"/>
      <c r="AC7" s="710"/>
    </row>
    <row r="8" spans="1:29" ht="18" customHeight="1" x14ac:dyDescent="0.25">
      <c r="A8" s="770"/>
      <c r="B8" s="1032">
        <v>3</v>
      </c>
      <c r="C8" s="731">
        <v>320</v>
      </c>
      <c r="D8" s="733">
        <v>40</v>
      </c>
      <c r="E8" s="742" t="s">
        <v>38</v>
      </c>
      <c r="F8" s="733"/>
      <c r="G8" s="733">
        <v>1</v>
      </c>
      <c r="H8" s="734" t="s">
        <v>44</v>
      </c>
      <c r="I8" s="725"/>
      <c r="J8" s="1395"/>
      <c r="K8" s="1395"/>
      <c r="L8" s="1395"/>
      <c r="M8" s="1395"/>
      <c r="N8" s="1395"/>
      <c r="O8" s="1395"/>
      <c r="P8" s="1395"/>
      <c r="Q8" s="1395"/>
      <c r="R8" s="1395"/>
      <c r="S8" s="1395"/>
      <c r="T8" s="768"/>
      <c r="U8" s="350"/>
      <c r="V8" s="350"/>
    </row>
    <row r="9" spans="1:29" ht="18" customHeight="1" x14ac:dyDescent="0.25">
      <c r="A9" s="770"/>
      <c r="B9" s="1031">
        <v>4</v>
      </c>
      <c r="C9" s="743">
        <v>300</v>
      </c>
      <c r="D9" s="53">
        <v>60</v>
      </c>
      <c r="E9" s="740" t="s">
        <v>54</v>
      </c>
      <c r="F9" s="53"/>
      <c r="G9" s="53">
        <v>1</v>
      </c>
      <c r="H9" s="744" t="s">
        <v>51</v>
      </c>
      <c r="I9" s="725"/>
      <c r="J9" s="1395"/>
      <c r="K9" s="1395"/>
      <c r="L9" s="1395"/>
      <c r="M9" s="1395"/>
      <c r="N9" s="1395"/>
      <c r="O9" s="1395"/>
      <c r="P9" s="1395"/>
      <c r="Q9" s="1395"/>
      <c r="R9" s="1395"/>
      <c r="S9" s="1395"/>
      <c r="T9" s="769"/>
      <c r="U9" s="350"/>
      <c r="V9" s="350"/>
    </row>
    <row r="10" spans="1:29" ht="18" customHeight="1" x14ac:dyDescent="0.25">
      <c r="A10" s="770"/>
      <c r="B10" s="1031">
        <v>5</v>
      </c>
      <c r="C10" s="743">
        <v>300</v>
      </c>
      <c r="D10" s="53">
        <v>60</v>
      </c>
      <c r="E10" s="740" t="s">
        <v>33</v>
      </c>
      <c r="F10" s="53"/>
      <c r="G10" s="53">
        <v>1</v>
      </c>
      <c r="H10" s="744" t="s">
        <v>55</v>
      </c>
      <c r="I10" s="725"/>
      <c r="J10" s="925" t="s">
        <v>957</v>
      </c>
      <c r="K10" s="924"/>
      <c r="L10" s="924"/>
      <c r="M10" s="924"/>
      <c r="N10" s="924"/>
      <c r="O10" s="924"/>
      <c r="P10" s="924"/>
      <c r="Q10" s="924"/>
      <c r="R10" s="924"/>
      <c r="S10" s="924"/>
      <c r="T10" s="769"/>
      <c r="U10" s="350"/>
      <c r="V10" s="350"/>
    </row>
    <row r="11" spans="1:29" ht="18" customHeight="1" x14ac:dyDescent="0.25">
      <c r="A11" s="770"/>
      <c r="B11" s="728" t="s">
        <v>977</v>
      </c>
      <c r="C11" s="729"/>
      <c r="D11" s="729"/>
      <c r="E11" s="729"/>
      <c r="F11" s="729"/>
      <c r="G11" s="741"/>
      <c r="H11" s="45"/>
      <c r="I11" s="725"/>
      <c r="J11" s="925" t="s">
        <v>958</v>
      </c>
      <c r="K11" s="924"/>
      <c r="L11" s="924"/>
      <c r="M11" s="924"/>
      <c r="N11" s="924"/>
      <c r="O11" s="924"/>
      <c r="P11" s="924"/>
      <c r="Q11" s="924"/>
      <c r="R11" s="924"/>
      <c r="S11" s="924"/>
      <c r="T11" s="721"/>
      <c r="U11" s="350"/>
      <c r="V11" s="350"/>
    </row>
    <row r="12" spans="1:29" ht="18" customHeight="1" x14ac:dyDescent="0.25">
      <c r="A12" s="770"/>
      <c r="B12" s="1031">
        <v>6</v>
      </c>
      <c r="C12" s="743">
        <v>240</v>
      </c>
      <c r="D12" s="745">
        <v>0</v>
      </c>
      <c r="E12" s="740" t="s">
        <v>63</v>
      </c>
      <c r="F12" s="53"/>
      <c r="G12" s="53">
        <v>3</v>
      </c>
      <c r="H12" s="744" t="s">
        <v>752</v>
      </c>
      <c r="I12" s="725"/>
      <c r="J12" s="925" t="s">
        <v>1009</v>
      </c>
      <c r="K12" s="924"/>
      <c r="L12" s="924"/>
      <c r="M12" s="924"/>
      <c r="N12" s="924"/>
      <c r="O12" s="924"/>
      <c r="P12" s="924"/>
      <c r="Q12" s="924"/>
      <c r="R12" s="924"/>
      <c r="S12" s="924"/>
      <c r="T12" s="721"/>
      <c r="U12" s="350"/>
      <c r="V12" s="350"/>
    </row>
    <row r="13" spans="1:29" ht="18" customHeight="1" x14ac:dyDescent="0.25">
      <c r="A13" s="770"/>
      <c r="B13" s="1034">
        <v>7</v>
      </c>
      <c r="C13" s="743">
        <v>240</v>
      </c>
      <c r="D13" s="745">
        <v>0</v>
      </c>
      <c r="E13" s="740" t="s">
        <v>17</v>
      </c>
      <c r="F13" s="53" t="s">
        <v>29</v>
      </c>
      <c r="G13" s="53">
        <v>2</v>
      </c>
      <c r="H13" s="744" t="s">
        <v>911</v>
      </c>
      <c r="I13" s="725"/>
      <c r="J13" s="694" t="s">
        <v>986</v>
      </c>
      <c r="K13" s="397"/>
      <c r="L13" s="397"/>
      <c r="M13" s="397"/>
      <c r="N13" s="397"/>
      <c r="O13" s="397"/>
      <c r="P13" s="397"/>
      <c r="Q13" s="397"/>
      <c r="R13" s="397"/>
      <c r="S13" s="397"/>
      <c r="T13" s="721"/>
      <c r="U13" s="350"/>
      <c r="V13" s="350"/>
    </row>
    <row r="14" spans="1:29" ht="18" customHeight="1" x14ac:dyDescent="0.25">
      <c r="A14" s="770"/>
      <c r="B14" s="1034">
        <v>8</v>
      </c>
      <c r="C14" s="746">
        <v>240</v>
      </c>
      <c r="D14" s="747">
        <v>0</v>
      </c>
      <c r="E14" s="746" t="s">
        <v>16</v>
      </c>
      <c r="F14" s="746"/>
      <c r="G14" s="746">
        <v>8</v>
      </c>
      <c r="H14" s="1385" t="s">
        <v>600</v>
      </c>
      <c r="I14" s="725"/>
      <c r="J14" s="1394" t="s">
        <v>1138</v>
      </c>
      <c r="K14" s="1394"/>
      <c r="L14" s="1394"/>
      <c r="M14" s="1394"/>
      <c r="N14" s="1394"/>
      <c r="O14" s="1394"/>
      <c r="P14" s="1394"/>
      <c r="Q14" s="1394"/>
      <c r="R14" s="1394"/>
      <c r="S14" s="1394"/>
      <c r="T14" s="721"/>
      <c r="U14" s="350"/>
      <c r="V14" s="350"/>
    </row>
    <row r="15" spans="1:29" ht="18" customHeight="1" x14ac:dyDescent="0.25">
      <c r="A15" s="770"/>
      <c r="B15" s="248"/>
      <c r="C15" s="746"/>
      <c r="D15" s="747"/>
      <c r="E15" s="746"/>
      <c r="F15" s="746"/>
      <c r="G15" s="746"/>
      <c r="H15" s="1386"/>
      <c r="I15" s="725"/>
      <c r="J15" s="1394"/>
      <c r="K15" s="1394"/>
      <c r="L15" s="1394"/>
      <c r="M15" s="1394"/>
      <c r="N15" s="1394"/>
      <c r="O15" s="1394"/>
      <c r="P15" s="1394"/>
      <c r="Q15" s="1394"/>
      <c r="R15" s="1394"/>
      <c r="S15" s="1394"/>
      <c r="T15" s="721"/>
      <c r="U15" s="350"/>
      <c r="V15" s="350"/>
    </row>
    <row r="16" spans="1:29" ht="18" customHeight="1" x14ac:dyDescent="0.25">
      <c r="A16" s="770"/>
      <c r="B16" s="1034">
        <v>9</v>
      </c>
      <c r="C16" s="735">
        <v>240</v>
      </c>
      <c r="D16" s="736">
        <v>0</v>
      </c>
      <c r="E16" s="738" t="s">
        <v>18</v>
      </c>
      <c r="F16" s="738"/>
      <c r="G16" s="738">
        <v>14</v>
      </c>
      <c r="H16" s="1387" t="s">
        <v>753</v>
      </c>
      <c r="I16" s="725"/>
      <c r="J16" s="1394"/>
      <c r="K16" s="1394"/>
      <c r="L16" s="1394"/>
      <c r="M16" s="1394"/>
      <c r="N16" s="1394"/>
      <c r="O16" s="1394"/>
      <c r="P16" s="1394"/>
      <c r="Q16" s="1394"/>
      <c r="R16" s="1394"/>
      <c r="S16" s="1394"/>
      <c r="T16" s="721"/>
      <c r="U16" s="350"/>
      <c r="V16" s="350"/>
    </row>
    <row r="17" spans="1:22" ht="18" customHeight="1" x14ac:dyDescent="0.25">
      <c r="A17" s="770"/>
      <c r="B17" s="248"/>
      <c r="C17" s="748"/>
      <c r="D17" s="747"/>
      <c r="E17" s="746"/>
      <c r="F17" s="746"/>
      <c r="G17" s="746"/>
      <c r="H17" s="1385"/>
      <c r="I17" s="725"/>
      <c r="J17" s="1394"/>
      <c r="K17" s="1394"/>
      <c r="L17" s="1394"/>
      <c r="M17" s="1394"/>
      <c r="N17" s="1394"/>
      <c r="O17" s="1394"/>
      <c r="P17" s="1394"/>
      <c r="Q17" s="1394"/>
      <c r="R17" s="1394"/>
      <c r="S17" s="1394"/>
      <c r="T17" s="722"/>
      <c r="U17" s="350"/>
      <c r="V17" s="350"/>
    </row>
    <row r="18" spans="1:22" ht="18" customHeight="1" x14ac:dyDescent="0.25">
      <c r="A18" s="770"/>
      <c r="B18" s="1032"/>
      <c r="C18" s="731"/>
      <c r="D18" s="732"/>
      <c r="E18" s="733"/>
      <c r="F18" s="733"/>
      <c r="G18" s="733"/>
      <c r="H18" s="1386"/>
      <c r="I18" s="725"/>
      <c r="J18" s="1396" t="s">
        <v>981</v>
      </c>
      <c r="K18" s="1396"/>
      <c r="L18" s="1396"/>
      <c r="M18" s="1396"/>
      <c r="N18" s="1396"/>
      <c r="O18" s="1396"/>
      <c r="P18" s="1396"/>
      <c r="Q18" s="1396"/>
      <c r="R18" s="1396"/>
      <c r="S18" s="1396"/>
      <c r="T18" s="722"/>
      <c r="U18" s="350"/>
      <c r="V18" s="350"/>
    </row>
    <row r="19" spans="1:22" ht="18" customHeight="1" x14ac:dyDescent="0.25">
      <c r="A19" s="770"/>
      <c r="B19" s="248">
        <v>10</v>
      </c>
      <c r="C19" s="748">
        <v>240</v>
      </c>
      <c r="D19" s="747">
        <v>0</v>
      </c>
      <c r="E19" s="746" t="s">
        <v>19</v>
      </c>
      <c r="F19" s="746"/>
      <c r="G19" s="746">
        <v>1</v>
      </c>
      <c r="H19" s="749" t="s">
        <v>150</v>
      </c>
      <c r="I19" s="725"/>
      <c r="J19" s="1396"/>
      <c r="K19" s="1396"/>
      <c r="L19" s="1396"/>
      <c r="M19" s="1396"/>
      <c r="N19" s="1396"/>
      <c r="O19" s="1396"/>
      <c r="P19" s="1396"/>
      <c r="Q19" s="1396"/>
      <c r="R19" s="1396"/>
      <c r="S19" s="1396"/>
      <c r="T19" s="722"/>
      <c r="U19" s="350"/>
      <c r="V19" s="350"/>
    </row>
    <row r="20" spans="1:22" ht="18" customHeight="1" x14ac:dyDescent="0.25">
      <c r="A20" s="770"/>
      <c r="B20" s="541">
        <v>11</v>
      </c>
      <c r="C20" s="735">
        <v>240</v>
      </c>
      <c r="D20" s="736">
        <v>0</v>
      </c>
      <c r="E20" s="738" t="s">
        <v>20</v>
      </c>
      <c r="F20" s="738"/>
      <c r="G20" s="738">
        <v>14</v>
      </c>
      <c r="H20" s="1387" t="s">
        <v>601</v>
      </c>
      <c r="I20" s="725"/>
      <c r="J20" s="1396"/>
      <c r="K20" s="1396"/>
      <c r="L20" s="1396"/>
      <c r="M20" s="1396"/>
      <c r="N20" s="1396"/>
      <c r="O20" s="1396"/>
      <c r="P20" s="1396"/>
      <c r="Q20" s="1396"/>
      <c r="R20" s="1396"/>
      <c r="S20" s="1396"/>
      <c r="T20" s="722"/>
      <c r="U20" s="350"/>
      <c r="V20" s="350"/>
    </row>
    <row r="21" spans="1:22" ht="18" customHeight="1" x14ac:dyDescent="0.25">
      <c r="A21" s="770"/>
      <c r="B21" s="542"/>
      <c r="C21" s="748"/>
      <c r="D21" s="747"/>
      <c r="E21" s="746"/>
      <c r="F21" s="746"/>
      <c r="G21" s="746"/>
      <c r="H21" s="1385"/>
      <c r="I21" s="725"/>
      <c r="J21" s="1406" t="s">
        <v>1085</v>
      </c>
      <c r="K21" s="1406"/>
      <c r="L21" s="1406"/>
      <c r="M21" s="1406"/>
      <c r="N21" s="1406"/>
      <c r="O21" s="1406"/>
      <c r="P21" s="1406"/>
      <c r="Q21" s="1406"/>
      <c r="R21" s="1406"/>
      <c r="S21" s="1406"/>
      <c r="T21" s="722"/>
      <c r="U21" s="350"/>
      <c r="V21" s="350"/>
    </row>
    <row r="22" spans="1:22" ht="18" customHeight="1" x14ac:dyDescent="0.25">
      <c r="A22" s="770"/>
      <c r="B22" s="543"/>
      <c r="C22" s="731"/>
      <c r="D22" s="732"/>
      <c r="E22" s="733"/>
      <c r="F22" s="733"/>
      <c r="G22" s="733"/>
      <c r="H22" s="1386"/>
      <c r="I22" s="725"/>
      <c r="J22" s="1406"/>
      <c r="K22" s="1406"/>
      <c r="L22" s="1406"/>
      <c r="M22" s="1406"/>
      <c r="N22" s="1406"/>
      <c r="O22" s="1406"/>
      <c r="P22" s="1406"/>
      <c r="Q22" s="1406"/>
      <c r="R22" s="1406"/>
      <c r="S22" s="1406"/>
      <c r="T22" s="722"/>
      <c r="U22" s="350"/>
      <c r="V22" s="350"/>
    </row>
    <row r="23" spans="1:22" ht="18" customHeight="1" x14ac:dyDescent="0.25">
      <c r="A23" s="770"/>
      <c r="B23" s="248">
        <v>12</v>
      </c>
      <c r="C23" s="748">
        <v>240</v>
      </c>
      <c r="D23" s="747">
        <v>0</v>
      </c>
      <c r="E23" s="746" t="s">
        <v>21</v>
      </c>
      <c r="F23" s="746"/>
      <c r="G23" s="746">
        <v>1</v>
      </c>
      <c r="H23" s="749" t="s">
        <v>197</v>
      </c>
      <c r="I23" s="725"/>
      <c r="J23" s="1406"/>
      <c r="K23" s="1406"/>
      <c r="L23" s="1406"/>
      <c r="M23" s="1406"/>
      <c r="N23" s="1406"/>
      <c r="O23" s="1406"/>
      <c r="P23" s="1406"/>
      <c r="Q23" s="1406"/>
      <c r="R23" s="1406"/>
      <c r="S23" s="1406"/>
      <c r="T23" s="722"/>
      <c r="U23" s="350"/>
      <c r="V23" s="350"/>
    </row>
    <row r="24" spans="1:22" ht="18" customHeight="1" x14ac:dyDescent="0.25">
      <c r="A24" s="770"/>
      <c r="B24" s="541">
        <v>13</v>
      </c>
      <c r="C24" s="735">
        <v>240</v>
      </c>
      <c r="D24" s="736">
        <v>0</v>
      </c>
      <c r="E24" s="738" t="s">
        <v>22</v>
      </c>
      <c r="F24" s="738"/>
      <c r="G24" s="738">
        <v>11</v>
      </c>
      <c r="H24" s="1387" t="s">
        <v>602</v>
      </c>
      <c r="I24" s="725"/>
      <c r="J24" s="1406"/>
      <c r="K24" s="1406"/>
      <c r="L24" s="1406"/>
      <c r="M24" s="1406"/>
      <c r="N24" s="1406"/>
      <c r="O24" s="1406"/>
      <c r="P24" s="1406"/>
      <c r="Q24" s="1406"/>
      <c r="R24" s="1406"/>
      <c r="S24" s="1406"/>
      <c r="T24" s="722"/>
      <c r="U24" s="350"/>
      <c r="V24" s="350"/>
    </row>
    <row r="25" spans="1:22" ht="18" customHeight="1" x14ac:dyDescent="0.25">
      <c r="A25" s="770"/>
      <c r="B25" s="542"/>
      <c r="C25" s="748"/>
      <c r="D25" s="747"/>
      <c r="E25" s="746"/>
      <c r="F25" s="746"/>
      <c r="G25" s="746"/>
      <c r="H25" s="1385"/>
      <c r="I25" s="725"/>
      <c r="J25" s="772" t="s">
        <v>987</v>
      </c>
      <c r="K25" s="433"/>
      <c r="L25" s="398"/>
      <c r="M25" s="398"/>
      <c r="N25" s="398"/>
      <c r="O25" s="398"/>
      <c r="P25" s="398"/>
      <c r="Q25" s="398"/>
      <c r="R25" s="398"/>
      <c r="S25" s="398"/>
      <c r="T25" s="722"/>
      <c r="U25" s="350"/>
      <c r="V25" s="350"/>
    </row>
    <row r="26" spans="1:22" ht="18" customHeight="1" x14ac:dyDescent="0.25">
      <c r="A26" s="770"/>
      <c r="B26" s="541">
        <v>14</v>
      </c>
      <c r="C26" s="735">
        <v>240</v>
      </c>
      <c r="D26" s="736">
        <v>0</v>
      </c>
      <c r="E26" s="738" t="s">
        <v>23</v>
      </c>
      <c r="F26" s="738"/>
      <c r="G26" s="738">
        <v>12</v>
      </c>
      <c r="H26" s="1389" t="s">
        <v>603</v>
      </c>
      <c r="I26" s="725"/>
      <c r="J26" s="1395" t="s">
        <v>1011</v>
      </c>
      <c r="K26" s="1395"/>
      <c r="L26" s="1395"/>
      <c r="M26" s="1395"/>
      <c r="N26" s="1395"/>
      <c r="O26" s="1395"/>
      <c r="P26" s="1395"/>
      <c r="Q26" s="1395"/>
      <c r="R26" s="1395"/>
      <c r="S26" s="1395"/>
      <c r="T26" s="722"/>
      <c r="U26" s="350"/>
      <c r="V26" s="350"/>
    </row>
    <row r="27" spans="1:22" ht="18" customHeight="1" x14ac:dyDescent="0.25">
      <c r="A27" s="770"/>
      <c r="B27" s="542"/>
      <c r="C27" s="748"/>
      <c r="D27" s="747"/>
      <c r="E27" s="746"/>
      <c r="F27" s="746"/>
      <c r="G27" s="746"/>
      <c r="H27" s="1390"/>
      <c r="I27" s="725"/>
      <c r="J27" s="1395"/>
      <c r="K27" s="1395"/>
      <c r="L27" s="1395"/>
      <c r="M27" s="1395"/>
      <c r="N27" s="1395"/>
      <c r="O27" s="1395"/>
      <c r="P27" s="1395"/>
      <c r="Q27" s="1395"/>
      <c r="R27" s="1395"/>
      <c r="S27" s="1395"/>
      <c r="T27" s="722"/>
      <c r="U27" s="350"/>
      <c r="V27" s="350"/>
    </row>
    <row r="28" spans="1:22" ht="18" customHeight="1" x14ac:dyDescent="0.25">
      <c r="A28" s="770"/>
      <c r="B28" s="542"/>
      <c r="C28" s="748"/>
      <c r="D28" s="747"/>
      <c r="E28" s="746"/>
      <c r="F28" s="746"/>
      <c r="G28" s="746"/>
      <c r="H28" s="1391"/>
      <c r="I28" s="725"/>
      <c r="J28" s="1395"/>
      <c r="K28" s="1395"/>
      <c r="L28" s="1395"/>
      <c r="M28" s="1395"/>
      <c r="N28" s="1395"/>
      <c r="O28" s="1395"/>
      <c r="P28" s="1395"/>
      <c r="Q28" s="1395"/>
      <c r="R28" s="1395"/>
      <c r="S28" s="1395"/>
      <c r="T28" s="722"/>
      <c r="U28" s="350"/>
      <c r="V28" s="350"/>
    </row>
    <row r="29" spans="1:22" ht="18" customHeight="1" x14ac:dyDescent="0.25">
      <c r="A29" s="770"/>
      <c r="B29" s="541">
        <v>15</v>
      </c>
      <c r="C29" s="735">
        <v>240</v>
      </c>
      <c r="D29" s="736">
        <v>0</v>
      </c>
      <c r="E29" s="750" t="s">
        <v>24</v>
      </c>
      <c r="F29" s="738"/>
      <c r="G29" s="738">
        <v>3</v>
      </c>
      <c r="H29" s="1389" t="s">
        <v>604</v>
      </c>
      <c r="I29" s="725"/>
      <c r="J29" s="926" t="s">
        <v>982</v>
      </c>
      <c r="K29" s="1388" t="s">
        <v>985</v>
      </c>
      <c r="L29" s="1388"/>
      <c r="M29" s="1388"/>
      <c r="N29" s="1388"/>
      <c r="O29" s="1388"/>
      <c r="P29" s="1388"/>
      <c r="Q29" s="1388"/>
      <c r="R29" s="1388"/>
      <c r="S29" s="1388"/>
      <c r="T29" s="722"/>
      <c r="U29" s="350"/>
      <c r="V29" s="350"/>
    </row>
    <row r="30" spans="1:22" ht="18" customHeight="1" x14ac:dyDescent="0.25">
      <c r="A30" s="770"/>
      <c r="B30" s="543"/>
      <c r="C30" s="731"/>
      <c r="D30" s="732"/>
      <c r="E30" s="751"/>
      <c r="F30" s="733"/>
      <c r="G30" s="733"/>
      <c r="H30" s="1397"/>
      <c r="I30" s="725"/>
      <c r="J30" s="927"/>
      <c r="K30" s="1388"/>
      <c r="L30" s="1388"/>
      <c r="M30" s="1388"/>
      <c r="N30" s="1388"/>
      <c r="O30" s="1388"/>
      <c r="P30" s="1388"/>
      <c r="Q30" s="1388"/>
      <c r="R30" s="1388"/>
      <c r="S30" s="1388"/>
      <c r="T30" s="722"/>
      <c r="U30" s="350"/>
      <c r="V30" s="350"/>
    </row>
    <row r="31" spans="1:22" ht="18" customHeight="1" x14ac:dyDescent="0.25">
      <c r="A31" s="770"/>
      <c r="B31" s="728" t="s">
        <v>978</v>
      </c>
      <c r="C31" s="729"/>
      <c r="D31" s="729"/>
      <c r="E31" s="729"/>
      <c r="F31" s="729"/>
      <c r="G31" s="730"/>
      <c r="H31" s="45"/>
      <c r="I31" s="725"/>
      <c r="J31" s="926" t="s">
        <v>983</v>
      </c>
      <c r="K31" s="1388" t="s">
        <v>984</v>
      </c>
      <c r="L31" s="1388"/>
      <c r="M31" s="1388"/>
      <c r="N31" s="1388"/>
      <c r="O31" s="1388"/>
      <c r="P31" s="1388"/>
      <c r="Q31" s="1388"/>
      <c r="R31" s="1388"/>
      <c r="S31" s="1388"/>
      <c r="T31" s="722"/>
      <c r="U31" s="350"/>
      <c r="V31" s="350"/>
    </row>
    <row r="32" spans="1:22" ht="18" customHeight="1" x14ac:dyDescent="0.25">
      <c r="A32" s="770"/>
      <c r="B32" s="1031">
        <v>16</v>
      </c>
      <c r="C32" s="743">
        <v>220</v>
      </c>
      <c r="D32" s="53">
        <v>20</v>
      </c>
      <c r="E32" s="755" t="s">
        <v>63</v>
      </c>
      <c r="F32" s="53"/>
      <c r="G32" s="53">
        <v>1</v>
      </c>
      <c r="H32" s="744" t="s">
        <v>285</v>
      </c>
      <c r="I32" s="725"/>
      <c r="J32" s="1395" t="s">
        <v>1147</v>
      </c>
      <c r="K32" s="1395"/>
      <c r="L32" s="1395"/>
      <c r="M32" s="1395"/>
      <c r="N32" s="1395"/>
      <c r="O32" s="1395"/>
      <c r="P32" s="1395"/>
      <c r="Q32" s="1395"/>
      <c r="R32" s="1395"/>
      <c r="S32" s="1395"/>
      <c r="T32" s="722"/>
      <c r="U32" s="350"/>
      <c r="V32" s="350"/>
    </row>
    <row r="33" spans="1:22" ht="18" customHeight="1" x14ac:dyDescent="0.25">
      <c r="A33" s="770"/>
      <c r="B33" s="1031">
        <v>17</v>
      </c>
      <c r="C33" s="743">
        <v>220</v>
      </c>
      <c r="D33" s="53">
        <v>20</v>
      </c>
      <c r="E33" s="755" t="s">
        <v>20</v>
      </c>
      <c r="F33" s="53"/>
      <c r="G33" s="53">
        <v>1</v>
      </c>
      <c r="H33" s="744" t="s">
        <v>288</v>
      </c>
      <c r="I33" s="725"/>
      <c r="J33" s="1395"/>
      <c r="K33" s="1395"/>
      <c r="L33" s="1395"/>
      <c r="M33" s="1395"/>
      <c r="N33" s="1395"/>
      <c r="O33" s="1395"/>
      <c r="P33" s="1395"/>
      <c r="Q33" s="1395"/>
      <c r="R33" s="1395"/>
      <c r="S33" s="1395"/>
      <c r="T33" s="722"/>
      <c r="U33" s="350"/>
      <c r="V33" s="350"/>
    </row>
    <row r="34" spans="1:22" ht="18" customHeight="1" x14ac:dyDescent="0.25">
      <c r="A34" s="770"/>
      <c r="B34" s="1031">
        <v>18</v>
      </c>
      <c r="C34" s="743">
        <v>210</v>
      </c>
      <c r="D34" s="53">
        <v>30</v>
      </c>
      <c r="E34" s="755" t="s">
        <v>16</v>
      </c>
      <c r="F34" s="53"/>
      <c r="G34" s="53">
        <v>1</v>
      </c>
      <c r="H34" s="744" t="s">
        <v>292</v>
      </c>
      <c r="I34" s="725"/>
      <c r="J34" s="1395"/>
      <c r="K34" s="1395"/>
      <c r="L34" s="1395"/>
      <c r="M34" s="1395"/>
      <c r="N34" s="1395"/>
      <c r="O34" s="1395"/>
      <c r="P34" s="1395"/>
      <c r="Q34" s="1395"/>
      <c r="R34" s="1395"/>
      <c r="S34" s="1395"/>
      <c r="T34" s="722"/>
      <c r="U34" s="350"/>
      <c r="V34" s="350"/>
    </row>
    <row r="35" spans="1:22" ht="18" customHeight="1" x14ac:dyDescent="0.25">
      <c r="A35" s="770"/>
      <c r="B35" s="1031">
        <v>19</v>
      </c>
      <c r="C35" s="743">
        <v>210</v>
      </c>
      <c r="D35" s="53">
        <v>30</v>
      </c>
      <c r="E35" s="755" t="s">
        <v>17</v>
      </c>
      <c r="F35" s="53"/>
      <c r="G35" s="53">
        <v>1</v>
      </c>
      <c r="H35" s="744" t="s">
        <v>141</v>
      </c>
      <c r="I35" s="725"/>
      <c r="J35" s="774" t="s">
        <v>988</v>
      </c>
      <c r="K35" s="794"/>
      <c r="L35" s="794"/>
      <c r="M35" s="794"/>
      <c r="N35" s="794"/>
      <c r="O35" s="794"/>
      <c r="P35" s="794"/>
      <c r="Q35" s="794"/>
      <c r="R35" s="794"/>
      <c r="S35" s="794"/>
      <c r="T35" s="722"/>
      <c r="U35" s="350"/>
      <c r="V35" s="350"/>
    </row>
    <row r="36" spans="1:22" ht="18" customHeight="1" x14ac:dyDescent="0.25">
      <c r="A36" s="770"/>
      <c r="B36" s="1031">
        <v>20</v>
      </c>
      <c r="C36" s="743">
        <v>210</v>
      </c>
      <c r="D36" s="53">
        <v>30</v>
      </c>
      <c r="E36" s="755" t="s">
        <v>23</v>
      </c>
      <c r="F36" s="53"/>
      <c r="G36" s="53">
        <v>1</v>
      </c>
      <c r="H36" s="744" t="s">
        <v>295</v>
      </c>
      <c r="I36" s="725"/>
      <c r="J36" s="763" t="s">
        <v>989</v>
      </c>
      <c r="K36" s="924"/>
      <c r="L36" s="924"/>
      <c r="M36" s="758"/>
      <c r="N36" s="758"/>
      <c r="O36" s="758"/>
      <c r="P36" s="398"/>
      <c r="Q36" s="1403" t="s">
        <v>953</v>
      </c>
      <c r="R36" s="1404"/>
      <c r="S36" s="1405"/>
      <c r="T36" s="722"/>
      <c r="U36" s="350"/>
      <c r="V36" s="350"/>
    </row>
    <row r="37" spans="1:22" ht="18" customHeight="1" x14ac:dyDescent="0.25">
      <c r="A37" s="770"/>
      <c r="B37" s="1031">
        <v>21</v>
      </c>
      <c r="C37" s="743">
        <v>210</v>
      </c>
      <c r="D37" s="53">
        <v>30</v>
      </c>
      <c r="E37" s="755" t="s">
        <v>24</v>
      </c>
      <c r="F37" s="53"/>
      <c r="G37" s="53">
        <v>2</v>
      </c>
      <c r="H37" s="744" t="s">
        <v>605</v>
      </c>
      <c r="I37" s="725"/>
      <c r="J37" s="1393" t="s">
        <v>1084</v>
      </c>
      <c r="K37" s="1393"/>
      <c r="L37" s="1393"/>
      <c r="M37" s="1393"/>
      <c r="N37" s="1393"/>
      <c r="O37" s="1393"/>
      <c r="P37" s="398"/>
      <c r="Q37" s="37" t="s">
        <v>777</v>
      </c>
      <c r="R37" s="68" t="s">
        <v>954</v>
      </c>
      <c r="S37" s="863" t="s">
        <v>754</v>
      </c>
      <c r="T37" s="722"/>
      <c r="U37" s="350"/>
      <c r="V37" s="350"/>
    </row>
    <row r="38" spans="1:22" ht="18" customHeight="1" x14ac:dyDescent="0.25">
      <c r="A38" s="770"/>
      <c r="B38" s="1031">
        <v>22</v>
      </c>
      <c r="C38" s="743">
        <v>200</v>
      </c>
      <c r="D38" s="53">
        <v>40</v>
      </c>
      <c r="E38" s="755" t="s">
        <v>18</v>
      </c>
      <c r="F38" s="53"/>
      <c r="G38" s="53">
        <v>3</v>
      </c>
      <c r="H38" s="744" t="s">
        <v>606</v>
      </c>
      <c r="I38" s="725"/>
      <c r="J38" s="1393"/>
      <c r="K38" s="1393"/>
      <c r="L38" s="1393"/>
      <c r="M38" s="1393"/>
      <c r="N38" s="1393"/>
      <c r="O38" s="1393"/>
      <c r="P38" s="398"/>
      <c r="Q38" s="1036" t="s">
        <v>571</v>
      </c>
      <c r="R38" s="864">
        <v>40</v>
      </c>
      <c r="S38" s="1036" t="s">
        <v>755</v>
      </c>
      <c r="T38" s="722"/>
      <c r="U38" s="350"/>
      <c r="V38" s="350"/>
    </row>
    <row r="39" spans="1:22" ht="18" customHeight="1" x14ac:dyDescent="0.25">
      <c r="A39" s="770"/>
      <c r="B39" s="1031">
        <v>23</v>
      </c>
      <c r="C39" s="743">
        <v>200</v>
      </c>
      <c r="D39" s="53">
        <v>40</v>
      </c>
      <c r="E39" s="755" t="s">
        <v>19</v>
      </c>
      <c r="F39" s="53"/>
      <c r="G39" s="53">
        <v>1</v>
      </c>
      <c r="H39" s="744" t="s">
        <v>316</v>
      </c>
      <c r="I39" s="725"/>
      <c r="J39" s="1393"/>
      <c r="K39" s="1393"/>
      <c r="L39" s="1393"/>
      <c r="M39" s="1393"/>
      <c r="N39" s="1393"/>
      <c r="O39" s="1393"/>
      <c r="P39" s="398"/>
      <c r="Q39" s="865" t="s">
        <v>778</v>
      </c>
      <c r="R39" s="864">
        <v>42.5</v>
      </c>
      <c r="S39" s="1036" t="s">
        <v>756</v>
      </c>
      <c r="T39" s="722"/>
      <c r="U39" s="350"/>
      <c r="V39" s="350"/>
    </row>
    <row r="40" spans="1:22" ht="18" customHeight="1" x14ac:dyDescent="0.25">
      <c r="A40" s="770"/>
      <c r="B40" s="1031">
        <v>24</v>
      </c>
      <c r="C40" s="743">
        <v>200</v>
      </c>
      <c r="D40" s="53">
        <v>40</v>
      </c>
      <c r="E40" s="755" t="s">
        <v>20</v>
      </c>
      <c r="F40" s="53"/>
      <c r="G40" s="53">
        <v>3</v>
      </c>
      <c r="H40" s="744" t="s">
        <v>607</v>
      </c>
      <c r="I40" s="725"/>
      <c r="J40" s="1398" t="s">
        <v>1148</v>
      </c>
      <c r="K40" s="1398"/>
      <c r="L40" s="1398"/>
      <c r="M40" s="1398"/>
      <c r="N40" s="1398"/>
      <c r="O40" s="1398"/>
      <c r="P40" s="398"/>
      <c r="Q40" s="1036"/>
      <c r="R40" s="864">
        <v>45</v>
      </c>
      <c r="S40" s="1036" t="s">
        <v>757</v>
      </c>
      <c r="T40" s="722"/>
      <c r="U40" s="350"/>
      <c r="V40" s="350"/>
    </row>
    <row r="41" spans="1:22" ht="18" customHeight="1" x14ac:dyDescent="0.25">
      <c r="A41" s="770"/>
      <c r="B41" s="1031">
        <v>25</v>
      </c>
      <c r="C41" s="743">
        <v>200</v>
      </c>
      <c r="D41" s="53">
        <v>40</v>
      </c>
      <c r="E41" s="755" t="s">
        <v>22</v>
      </c>
      <c r="F41" s="53"/>
      <c r="G41" s="53">
        <v>5</v>
      </c>
      <c r="H41" s="744" t="s">
        <v>608</v>
      </c>
      <c r="I41" s="725"/>
      <c r="J41" s="1398"/>
      <c r="K41" s="1398"/>
      <c r="L41" s="1398"/>
      <c r="M41" s="1398"/>
      <c r="N41" s="1398"/>
      <c r="O41" s="1398"/>
      <c r="P41" s="398"/>
      <c r="Q41" s="90"/>
      <c r="R41" s="866">
        <v>47.5</v>
      </c>
      <c r="S41" s="90" t="s">
        <v>758</v>
      </c>
      <c r="T41" s="722"/>
      <c r="U41" s="350"/>
      <c r="V41" s="350"/>
    </row>
    <row r="42" spans="1:22" ht="18" customHeight="1" x14ac:dyDescent="0.25">
      <c r="A42" s="770"/>
      <c r="B42" s="1031">
        <v>26</v>
      </c>
      <c r="C42" s="743">
        <v>200</v>
      </c>
      <c r="D42" s="53">
        <v>40</v>
      </c>
      <c r="E42" s="755" t="s">
        <v>23</v>
      </c>
      <c r="F42" s="53"/>
      <c r="G42" s="53">
        <v>5</v>
      </c>
      <c r="H42" s="744" t="s">
        <v>609</v>
      </c>
      <c r="I42" s="725"/>
      <c r="J42" s="1398"/>
      <c r="K42" s="1398"/>
      <c r="L42" s="1398"/>
      <c r="M42" s="1398"/>
      <c r="N42" s="1398"/>
      <c r="O42" s="1398"/>
      <c r="P42" s="398"/>
      <c r="Q42" s="99" t="s">
        <v>575</v>
      </c>
      <c r="R42" s="867">
        <v>50</v>
      </c>
      <c r="S42" s="1035" t="s">
        <v>759</v>
      </c>
      <c r="T42" s="722"/>
      <c r="U42" s="350"/>
      <c r="V42" s="350"/>
    </row>
    <row r="43" spans="1:22" ht="18" customHeight="1" x14ac:dyDescent="0.25">
      <c r="A43" s="770"/>
      <c r="B43" s="1034">
        <v>27</v>
      </c>
      <c r="C43" s="735">
        <v>200</v>
      </c>
      <c r="D43" s="738">
        <v>40</v>
      </c>
      <c r="E43" s="750" t="s">
        <v>24</v>
      </c>
      <c r="F43" s="738"/>
      <c r="G43" s="738">
        <v>3</v>
      </c>
      <c r="H43" s="739" t="s">
        <v>610</v>
      </c>
      <c r="I43" s="725"/>
      <c r="J43" s="1398"/>
      <c r="K43" s="1398"/>
      <c r="L43" s="1398"/>
      <c r="M43" s="1398"/>
      <c r="N43" s="1398"/>
      <c r="O43" s="1398"/>
      <c r="P43" s="398"/>
      <c r="Q43" s="868" t="s">
        <v>779</v>
      </c>
      <c r="R43" s="869">
        <v>52.5</v>
      </c>
      <c r="S43" s="1036" t="s">
        <v>760</v>
      </c>
      <c r="T43" s="722"/>
      <c r="U43" s="350"/>
      <c r="V43" s="350"/>
    </row>
    <row r="44" spans="1:22" ht="18" customHeight="1" x14ac:dyDescent="0.25">
      <c r="A44" s="770"/>
      <c r="B44" s="541">
        <v>28</v>
      </c>
      <c r="C44" s="735">
        <v>180</v>
      </c>
      <c r="D44" s="738">
        <v>60</v>
      </c>
      <c r="E44" s="738" t="s">
        <v>16</v>
      </c>
      <c r="F44" s="738"/>
      <c r="G44" s="738">
        <v>5</v>
      </c>
      <c r="H44" s="1389" t="s">
        <v>611</v>
      </c>
      <c r="I44" s="725"/>
      <c r="J44" s="1396" t="s">
        <v>1149</v>
      </c>
      <c r="K44" s="1396"/>
      <c r="L44" s="1396"/>
      <c r="M44" s="1396"/>
      <c r="N44" s="1396"/>
      <c r="O44" s="1396"/>
      <c r="P44" s="398"/>
      <c r="Q44" s="347"/>
      <c r="R44" s="869">
        <v>55</v>
      </c>
      <c r="S44" s="1036" t="s">
        <v>761</v>
      </c>
      <c r="T44" s="722"/>
      <c r="U44" s="350"/>
      <c r="V44" s="350"/>
    </row>
    <row r="45" spans="1:22" ht="18" customHeight="1" x14ac:dyDescent="0.25">
      <c r="A45" s="770"/>
      <c r="B45" s="543"/>
      <c r="C45" s="731"/>
      <c r="D45" s="733"/>
      <c r="E45" s="733"/>
      <c r="F45" s="733"/>
      <c r="G45" s="733"/>
      <c r="H45" s="1391"/>
      <c r="I45" s="725"/>
      <c r="J45" s="1396"/>
      <c r="K45" s="1396"/>
      <c r="L45" s="1396"/>
      <c r="M45" s="1396"/>
      <c r="N45" s="1396"/>
      <c r="O45" s="1396"/>
      <c r="P45" s="398"/>
      <c r="Q45" s="156"/>
      <c r="R45" s="870">
        <v>57.5</v>
      </c>
      <c r="S45" s="90" t="s">
        <v>762</v>
      </c>
      <c r="T45" s="722"/>
      <c r="U45" s="350"/>
      <c r="V45" s="350"/>
    </row>
    <row r="46" spans="1:22" ht="18" customHeight="1" x14ac:dyDescent="0.25">
      <c r="A46" s="770"/>
      <c r="B46" s="1032">
        <v>29</v>
      </c>
      <c r="C46" s="731">
        <v>180</v>
      </c>
      <c r="D46" s="733">
        <v>60</v>
      </c>
      <c r="E46" s="751" t="s">
        <v>23</v>
      </c>
      <c r="F46" s="733"/>
      <c r="G46" s="733">
        <v>2</v>
      </c>
      <c r="H46" s="734" t="s">
        <v>612</v>
      </c>
      <c r="I46" s="725"/>
      <c r="J46" s="1396"/>
      <c r="K46" s="1396"/>
      <c r="L46" s="1396"/>
      <c r="M46" s="1396"/>
      <c r="N46" s="1396"/>
      <c r="O46" s="1396"/>
      <c r="P46" s="398"/>
      <c r="Q46" s="99" t="s">
        <v>579</v>
      </c>
      <c r="R46" s="867">
        <v>60</v>
      </c>
      <c r="S46" s="1035" t="s">
        <v>763</v>
      </c>
      <c r="T46" s="722"/>
      <c r="U46" s="350"/>
      <c r="V46" s="350"/>
    </row>
    <row r="47" spans="1:22" ht="18" customHeight="1" x14ac:dyDescent="0.25">
      <c r="A47" s="770"/>
      <c r="B47" s="1031">
        <v>30</v>
      </c>
      <c r="C47" s="743">
        <v>180</v>
      </c>
      <c r="D47" s="53">
        <v>60</v>
      </c>
      <c r="E47" s="755" t="s">
        <v>24</v>
      </c>
      <c r="F47" s="53"/>
      <c r="G47" s="53">
        <v>1</v>
      </c>
      <c r="H47" s="744" t="s">
        <v>392</v>
      </c>
      <c r="I47" s="725"/>
      <c r="J47" s="1396"/>
      <c r="K47" s="1396"/>
      <c r="L47" s="1396"/>
      <c r="M47" s="1396"/>
      <c r="N47" s="1396"/>
      <c r="O47" s="1396"/>
      <c r="P47" s="776"/>
      <c r="Q47" s="868" t="s">
        <v>780</v>
      </c>
      <c r="R47" s="869">
        <v>62.5</v>
      </c>
      <c r="S47" s="1036" t="s">
        <v>764</v>
      </c>
      <c r="T47" s="722"/>
      <c r="U47" s="350"/>
      <c r="V47" s="450"/>
    </row>
    <row r="48" spans="1:22" ht="18" customHeight="1" x14ac:dyDescent="0.25">
      <c r="A48" s="770"/>
      <c r="B48" s="1031">
        <v>31</v>
      </c>
      <c r="C48" s="743">
        <v>160</v>
      </c>
      <c r="D48" s="53">
        <v>80</v>
      </c>
      <c r="E48" s="755" t="s">
        <v>16</v>
      </c>
      <c r="F48" s="53"/>
      <c r="G48" s="53">
        <v>1</v>
      </c>
      <c r="H48" s="744" t="s">
        <v>396</v>
      </c>
      <c r="I48" s="725"/>
      <c r="J48" s="1396"/>
      <c r="K48" s="1396"/>
      <c r="L48" s="1396"/>
      <c r="M48" s="1396"/>
      <c r="N48" s="1396"/>
      <c r="O48" s="1396"/>
      <c r="P48" s="776"/>
      <c r="Q48" s="347"/>
      <c r="R48" s="869">
        <v>65</v>
      </c>
      <c r="S48" s="1036" t="s">
        <v>765</v>
      </c>
      <c r="T48" s="722"/>
      <c r="U48" s="350"/>
      <c r="V48" s="450"/>
    </row>
    <row r="49" spans="1:22" ht="18" customHeight="1" x14ac:dyDescent="0.25">
      <c r="A49" s="770"/>
      <c r="B49" s="1031">
        <v>32</v>
      </c>
      <c r="C49" s="743">
        <v>160</v>
      </c>
      <c r="D49" s="53">
        <v>80</v>
      </c>
      <c r="E49" s="755" t="s">
        <v>17</v>
      </c>
      <c r="F49" s="53"/>
      <c r="G49" s="53">
        <v>1</v>
      </c>
      <c r="H49" s="744" t="s">
        <v>399</v>
      </c>
      <c r="I49" s="725"/>
      <c r="J49" s="1393" t="s">
        <v>1134</v>
      </c>
      <c r="K49" s="1393"/>
      <c r="L49" s="1393"/>
      <c r="M49" s="1393"/>
      <c r="N49" s="1393"/>
      <c r="O49" s="1393"/>
      <c r="P49" s="776"/>
      <c r="Q49" s="156"/>
      <c r="R49" s="870">
        <v>67.5</v>
      </c>
      <c r="S49" s="90" t="s">
        <v>766</v>
      </c>
      <c r="T49" s="722"/>
      <c r="U49" s="350"/>
      <c r="V49" s="450"/>
    </row>
    <row r="50" spans="1:22" ht="18" customHeight="1" x14ac:dyDescent="0.25">
      <c r="A50" s="770"/>
      <c r="B50" s="1031">
        <v>33</v>
      </c>
      <c r="C50" s="743">
        <v>120</v>
      </c>
      <c r="D50" s="53">
        <v>120</v>
      </c>
      <c r="E50" s="755" t="s">
        <v>16</v>
      </c>
      <c r="F50" s="53"/>
      <c r="G50" s="53">
        <v>1</v>
      </c>
      <c r="H50" s="744" t="s">
        <v>405</v>
      </c>
      <c r="I50" s="725"/>
      <c r="J50" s="1393"/>
      <c r="K50" s="1393"/>
      <c r="L50" s="1393"/>
      <c r="M50" s="1393"/>
      <c r="N50" s="1393"/>
      <c r="O50" s="1393"/>
      <c r="P50" s="398"/>
      <c r="Q50" s="1035" t="s">
        <v>587</v>
      </c>
      <c r="R50" s="871">
        <v>70</v>
      </c>
      <c r="S50" s="1035" t="s">
        <v>767</v>
      </c>
      <c r="T50" s="722"/>
      <c r="U50" s="350"/>
      <c r="V50" s="450"/>
    </row>
    <row r="51" spans="1:22" ht="18" customHeight="1" x14ac:dyDescent="0.25">
      <c r="A51" s="770"/>
      <c r="B51" s="728" t="s">
        <v>979</v>
      </c>
      <c r="C51" s="729"/>
      <c r="D51" s="729"/>
      <c r="E51" s="729"/>
      <c r="F51" s="729"/>
      <c r="G51" s="730"/>
      <c r="H51" s="45"/>
      <c r="I51" s="725"/>
      <c r="J51" s="1393"/>
      <c r="K51" s="1393"/>
      <c r="L51" s="1393"/>
      <c r="M51" s="1393"/>
      <c r="N51" s="1393"/>
      <c r="O51" s="1393"/>
      <c r="P51" s="398"/>
      <c r="Q51" s="865" t="s">
        <v>846</v>
      </c>
      <c r="R51" s="864">
        <v>72.5</v>
      </c>
      <c r="S51" s="1036" t="s">
        <v>768</v>
      </c>
      <c r="T51" s="722"/>
      <c r="U51" s="350"/>
      <c r="V51" s="450"/>
    </row>
    <row r="52" spans="1:22" ht="18" customHeight="1" x14ac:dyDescent="0.25">
      <c r="A52" s="770"/>
      <c r="B52" s="1034">
        <v>34</v>
      </c>
      <c r="C52" s="735">
        <v>120</v>
      </c>
      <c r="D52" s="736">
        <v>0</v>
      </c>
      <c r="E52" s="750" t="s">
        <v>63</v>
      </c>
      <c r="F52" s="738">
        <v>0</v>
      </c>
      <c r="G52" s="738">
        <v>1</v>
      </c>
      <c r="H52" s="739" t="s">
        <v>410</v>
      </c>
      <c r="I52" s="725"/>
      <c r="J52" s="1393"/>
      <c r="K52" s="1393"/>
      <c r="L52" s="1393"/>
      <c r="M52" s="1393"/>
      <c r="N52" s="1393"/>
      <c r="O52" s="1393"/>
      <c r="P52" s="398"/>
      <c r="Q52" s="1036"/>
      <c r="R52" s="864">
        <v>75</v>
      </c>
      <c r="S52" s="1036" t="s">
        <v>769</v>
      </c>
      <c r="T52" s="722"/>
      <c r="U52" s="350"/>
      <c r="V52" s="350"/>
    </row>
    <row r="53" spans="1:22" ht="18" customHeight="1" x14ac:dyDescent="0.25">
      <c r="A53" s="770"/>
      <c r="B53" s="541">
        <v>35</v>
      </c>
      <c r="C53" s="735">
        <v>120</v>
      </c>
      <c r="D53" s="736">
        <v>0</v>
      </c>
      <c r="E53" s="750" t="s">
        <v>417</v>
      </c>
      <c r="F53" s="738"/>
      <c r="G53" s="738">
        <v>10</v>
      </c>
      <c r="H53" s="1389" t="s">
        <v>613</v>
      </c>
      <c r="I53" s="725"/>
      <c r="J53" s="1393"/>
      <c r="K53" s="1393"/>
      <c r="L53" s="1393"/>
      <c r="M53" s="1393"/>
      <c r="N53" s="1393"/>
      <c r="O53" s="1393"/>
      <c r="P53" s="398"/>
      <c r="Q53" s="90"/>
      <c r="R53" s="866">
        <v>77.5</v>
      </c>
      <c r="S53" s="90" t="s">
        <v>770</v>
      </c>
      <c r="T53" s="722"/>
      <c r="U53" s="350"/>
      <c r="V53" s="350"/>
    </row>
    <row r="54" spans="1:22" ht="18" customHeight="1" x14ac:dyDescent="0.25">
      <c r="A54" s="770"/>
      <c r="B54" s="542"/>
      <c r="C54" s="748"/>
      <c r="D54" s="747"/>
      <c r="E54" s="756"/>
      <c r="F54" s="746"/>
      <c r="G54" s="746"/>
      <c r="H54" s="1390"/>
      <c r="I54" s="725"/>
      <c r="J54" s="1396" t="s">
        <v>995</v>
      </c>
      <c r="K54" s="1396"/>
      <c r="L54" s="1396"/>
      <c r="M54" s="1396"/>
      <c r="N54" s="1396"/>
      <c r="O54" s="1396"/>
      <c r="P54" s="398"/>
      <c r="Q54" s="1035" t="s">
        <v>775</v>
      </c>
      <c r="R54" s="867">
        <v>80</v>
      </c>
      <c r="S54" s="1035" t="s">
        <v>771</v>
      </c>
      <c r="T54" s="722"/>
      <c r="U54" s="350"/>
      <c r="V54" s="350"/>
    </row>
    <row r="55" spans="1:22" ht="18" customHeight="1" x14ac:dyDescent="0.25">
      <c r="A55" s="770"/>
      <c r="B55" s="543"/>
      <c r="C55" s="731"/>
      <c r="D55" s="732"/>
      <c r="E55" s="751"/>
      <c r="F55" s="733"/>
      <c r="G55" s="733"/>
      <c r="H55" s="1391"/>
      <c r="I55" s="725"/>
      <c r="J55" s="1396"/>
      <c r="K55" s="1396"/>
      <c r="L55" s="1396"/>
      <c r="M55" s="1396"/>
      <c r="N55" s="1396"/>
      <c r="O55" s="1396"/>
      <c r="P55" s="398"/>
      <c r="Q55" s="865" t="s">
        <v>846</v>
      </c>
      <c r="R55" s="869">
        <v>82.5</v>
      </c>
      <c r="S55" s="1036" t="s">
        <v>772</v>
      </c>
      <c r="T55" s="722"/>
      <c r="U55" s="350"/>
      <c r="V55" s="350"/>
    </row>
    <row r="56" spans="1:22" ht="18" customHeight="1" x14ac:dyDescent="0.25">
      <c r="A56" s="770"/>
      <c r="B56" s="752" t="s">
        <v>980</v>
      </c>
      <c r="C56" s="753"/>
      <c r="D56" s="753"/>
      <c r="E56" s="753"/>
      <c r="F56" s="753"/>
      <c r="G56" s="754"/>
      <c r="H56" s="723"/>
      <c r="I56" s="725"/>
      <c r="J56" s="1396"/>
      <c r="K56" s="1396"/>
      <c r="L56" s="1396"/>
      <c r="M56" s="1396"/>
      <c r="N56" s="1396"/>
      <c r="O56" s="1396"/>
      <c r="P56" s="398"/>
      <c r="Q56" s="1036"/>
      <c r="R56" s="869">
        <v>85</v>
      </c>
      <c r="S56" s="1036" t="s">
        <v>773</v>
      </c>
      <c r="T56" s="722"/>
      <c r="U56" s="350"/>
      <c r="V56" s="350"/>
    </row>
    <row r="57" spans="1:22" ht="18" customHeight="1" x14ac:dyDescent="0.25">
      <c r="A57" s="770"/>
      <c r="B57" s="1031">
        <v>36</v>
      </c>
      <c r="C57" s="743">
        <v>100</v>
      </c>
      <c r="D57" s="53">
        <v>20</v>
      </c>
      <c r="E57" s="53" t="s">
        <v>417</v>
      </c>
      <c r="F57" s="53"/>
      <c r="G57" s="53">
        <v>2</v>
      </c>
      <c r="H57" s="744" t="s">
        <v>614</v>
      </c>
      <c r="I57" s="725"/>
      <c r="J57" s="1399"/>
      <c r="K57" s="1399"/>
      <c r="L57" s="1399"/>
      <c r="M57" s="1399"/>
      <c r="N57" s="1399"/>
      <c r="O57" s="1399"/>
      <c r="P57" s="398"/>
      <c r="Q57" s="90"/>
      <c r="R57" s="870">
        <v>87.5</v>
      </c>
      <c r="S57" s="90" t="s">
        <v>774</v>
      </c>
      <c r="T57" s="722"/>
      <c r="U57" s="350"/>
      <c r="V57" s="350"/>
    </row>
    <row r="58" spans="1:22" ht="18" customHeight="1" x14ac:dyDescent="0.25">
      <c r="A58" s="770"/>
      <c r="B58" s="743"/>
      <c r="C58" s="52"/>
      <c r="D58" s="52"/>
      <c r="E58" s="757" t="s">
        <v>515</v>
      </c>
      <c r="F58" s="52"/>
      <c r="G58" s="53">
        <f>SUM(G5:G57)</f>
        <v>127</v>
      </c>
      <c r="H58" s="54"/>
      <c r="I58" s="725"/>
      <c r="J58" s="1400" t="s">
        <v>792</v>
      </c>
      <c r="K58" s="1401"/>
      <c r="L58" s="1401"/>
      <c r="M58" s="1401"/>
      <c r="N58" s="1401"/>
      <c r="O58" s="1402"/>
      <c r="P58" s="398"/>
      <c r="Q58" s="40"/>
      <c r="R58" s="864"/>
      <c r="S58" s="40"/>
      <c r="T58" s="722"/>
      <c r="U58" s="350"/>
      <c r="V58" s="350"/>
    </row>
    <row r="59" spans="1:22" ht="18" customHeight="1" x14ac:dyDescent="0.25">
      <c r="A59" s="770"/>
      <c r="B59" s="860" t="s">
        <v>1010</v>
      </c>
      <c r="C59" s="861"/>
      <c r="D59" s="861"/>
      <c r="E59" s="861"/>
      <c r="F59" s="861"/>
      <c r="G59" s="861"/>
      <c r="H59" s="1048"/>
      <c r="I59" s="725"/>
      <c r="J59" s="398"/>
      <c r="K59" s="398"/>
      <c r="L59" s="398"/>
      <c r="M59" s="398"/>
      <c r="N59" s="398"/>
      <c r="O59" s="398"/>
      <c r="P59" s="398"/>
      <c r="Q59" s="398"/>
      <c r="R59" s="398"/>
      <c r="S59" s="398"/>
      <c r="T59" s="722"/>
      <c r="U59" s="350"/>
      <c r="V59" s="350"/>
    </row>
    <row r="60" spans="1:22" ht="19.149999999999999" customHeight="1" x14ac:dyDescent="0.25">
      <c r="A60" s="770"/>
      <c r="B60" s="771" t="s">
        <v>996</v>
      </c>
      <c r="C60" s="771"/>
      <c r="D60" s="771"/>
      <c r="E60" s="771"/>
      <c r="F60" s="771"/>
      <c r="G60" s="771"/>
      <c r="H60" s="771"/>
      <c r="I60" s="770"/>
      <c r="J60" s="760"/>
      <c r="K60" s="760"/>
      <c r="L60" s="760"/>
      <c r="M60" s="760"/>
      <c r="N60" s="760"/>
      <c r="O60" s="760"/>
      <c r="P60" s="760"/>
      <c r="Q60" s="760"/>
      <c r="R60" s="760"/>
      <c r="S60" s="760"/>
      <c r="T60" s="722"/>
      <c r="U60" s="350"/>
      <c r="V60" s="350"/>
    </row>
    <row r="61" spans="1:22" ht="15" customHeight="1" x14ac:dyDescent="0.25">
      <c r="J61" s="262"/>
      <c r="K61" s="262"/>
      <c r="L61" s="262"/>
      <c r="M61" s="262"/>
      <c r="N61" s="262"/>
      <c r="O61" s="262"/>
      <c r="P61" s="262"/>
      <c r="Q61" s="262"/>
      <c r="R61" s="262"/>
      <c r="S61" s="262"/>
      <c r="T61" s="350"/>
      <c r="U61" s="350"/>
      <c r="V61" s="350"/>
    </row>
    <row r="62" spans="1:22" x14ac:dyDescent="0.25">
      <c r="O62" s="262"/>
      <c r="P62" s="262"/>
      <c r="Q62" s="262"/>
      <c r="R62" s="262"/>
      <c r="S62" s="262"/>
    </row>
    <row r="63" spans="1:22" x14ac:dyDescent="0.25">
      <c r="J63" s="262"/>
      <c r="K63" s="262"/>
    </row>
  </sheetData>
  <sheetProtection password="D0D3" sheet="1" objects="1" scenarios="1"/>
  <mergeCells count="26">
    <mergeCell ref="J58:O58"/>
    <mergeCell ref="J49:O53"/>
    <mergeCell ref="J44:O48"/>
    <mergeCell ref="Q36:S36"/>
    <mergeCell ref="J21:S24"/>
    <mergeCell ref="J26:S28"/>
    <mergeCell ref="K29:S30"/>
    <mergeCell ref="J32:S34"/>
    <mergeCell ref="H44:H45"/>
    <mergeCell ref="H53:H55"/>
    <mergeCell ref="H29:H30"/>
    <mergeCell ref="J37:O39"/>
    <mergeCell ref="J40:O43"/>
    <mergeCell ref="J54:O57"/>
    <mergeCell ref="B2:H2"/>
    <mergeCell ref="H14:H15"/>
    <mergeCell ref="H16:H18"/>
    <mergeCell ref="H20:H22"/>
    <mergeCell ref="K31:S31"/>
    <mergeCell ref="H24:H25"/>
    <mergeCell ref="H26:H28"/>
    <mergeCell ref="R2:S2"/>
    <mergeCell ref="J3:S6"/>
    <mergeCell ref="J14:S17"/>
    <mergeCell ref="J7:S9"/>
    <mergeCell ref="J18:S20"/>
  </mergeCells>
  <hyperlinks>
    <hyperlink ref="J58" r:id="rId1" xr:uid="{00000000-0004-0000-0000-000000000000}"/>
  </hyperlinks>
  <printOptions horizontalCentered="1" verticalCentered="1"/>
  <pageMargins left="0.39370078740157483" right="0.39370078740157483" top="0.39370078740157483" bottom="0.39370078740157483" header="0.31496062992125984" footer="0.31496062992125984"/>
  <pageSetup paperSize="9" scale="73" orientation="portrait" verticalDpi="0" r:id="rId2"/>
  <colBreaks count="1" manualBreakCount="1">
    <brk id="8" min="1" max="5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CJ226"/>
  <sheetViews>
    <sheetView zoomScaleNormal="100" workbookViewId="0">
      <selection activeCell="C7" sqref="C7"/>
    </sheetView>
  </sheetViews>
  <sheetFormatPr defaultColWidth="4.7109375" defaultRowHeight="15" customHeight="1" x14ac:dyDescent="0.25"/>
  <cols>
    <col min="1" max="1" width="1.7109375" customWidth="1"/>
    <col min="2" max="2" width="1.85546875" style="725" customWidth="1"/>
    <col min="3" max="20" width="5.7109375" customWidth="1"/>
    <col min="21" max="21" width="5.7109375" style="799" customWidth="1"/>
    <col min="22" max="22" width="1.7109375" style="923" customWidth="1"/>
    <col min="23" max="23" width="6.7109375" style="9" hidden="1" customWidth="1"/>
    <col min="24" max="80" width="6.7109375" hidden="1" customWidth="1"/>
    <col min="81" max="86" width="6.7109375" customWidth="1"/>
    <col min="87" max="97" width="5.7109375" customWidth="1"/>
    <col min="98" max="122" width="6.7109375" customWidth="1"/>
  </cols>
  <sheetData>
    <row r="1" spans="1:34" s="800" customFormat="1" ht="10.15" customHeight="1" x14ac:dyDescent="0.25">
      <c r="A1" s="999"/>
      <c r="B1" s="999"/>
      <c r="C1" s="999"/>
      <c r="D1" s="999"/>
      <c r="E1" s="999"/>
      <c r="F1" s="999"/>
      <c r="G1" s="999"/>
      <c r="H1" s="999"/>
      <c r="I1" s="999"/>
      <c r="J1" s="999"/>
      <c r="K1" s="999"/>
      <c r="L1" s="999"/>
      <c r="M1" s="999"/>
      <c r="N1" s="999"/>
      <c r="O1" s="999"/>
      <c r="P1" s="999"/>
      <c r="Q1" s="999"/>
      <c r="R1" s="999"/>
      <c r="S1" s="999"/>
      <c r="T1" s="999"/>
      <c r="U1" s="999"/>
      <c r="V1" s="1037"/>
      <c r="W1" s="9"/>
    </row>
    <row r="2" spans="1:34" s="800" customFormat="1" ht="15" customHeight="1" x14ac:dyDescent="0.25">
      <c r="A2" s="999"/>
      <c r="B2" s="1407" t="s">
        <v>1156</v>
      </c>
      <c r="C2" s="1408"/>
      <c r="D2" s="1408"/>
      <c r="E2" s="1408"/>
      <c r="F2" s="1408"/>
      <c r="G2" s="1408"/>
      <c r="H2" s="1408"/>
      <c r="I2" s="1408"/>
      <c r="J2" s="1408"/>
      <c r="K2" s="1408"/>
      <c r="L2" s="1408"/>
      <c r="M2" s="1408"/>
      <c r="N2" s="1408"/>
      <c r="O2" s="1408"/>
      <c r="P2" s="1408"/>
      <c r="Q2" s="1408"/>
      <c r="R2" s="1408"/>
      <c r="S2" s="1408"/>
      <c r="T2" s="1408"/>
      <c r="U2" s="1409"/>
      <c r="V2" s="1037"/>
      <c r="W2" s="9"/>
    </row>
    <row r="3" spans="1:34" s="800" customFormat="1" ht="15" customHeight="1" x14ac:dyDescent="0.25">
      <c r="A3" s="999"/>
      <c r="B3" s="1410"/>
      <c r="C3" s="1411"/>
      <c r="D3" s="1411"/>
      <c r="E3" s="1411"/>
      <c r="F3" s="1411"/>
      <c r="G3" s="1411"/>
      <c r="H3" s="1411"/>
      <c r="I3" s="1411"/>
      <c r="J3" s="1411"/>
      <c r="K3" s="1411"/>
      <c r="L3" s="1411"/>
      <c r="M3" s="1411"/>
      <c r="N3" s="1411"/>
      <c r="O3" s="1411"/>
      <c r="P3" s="1411"/>
      <c r="Q3" s="1411"/>
      <c r="R3" s="1411"/>
      <c r="S3" s="1411"/>
      <c r="T3" s="1411"/>
      <c r="U3" s="1412"/>
      <c r="V3" s="1037"/>
      <c r="W3" s="9"/>
    </row>
    <row r="4" spans="1:34" s="800" customFormat="1" ht="15" customHeight="1" x14ac:dyDescent="0.25">
      <c r="A4" s="999"/>
      <c r="B4" s="1413"/>
      <c r="C4" s="1414"/>
      <c r="D4" s="1414"/>
      <c r="E4" s="1414"/>
      <c r="F4" s="1414"/>
      <c r="G4" s="1414"/>
      <c r="H4" s="1414"/>
      <c r="I4" s="1414"/>
      <c r="J4" s="1414"/>
      <c r="K4" s="1414"/>
      <c r="L4" s="1414"/>
      <c r="M4" s="1414"/>
      <c r="N4" s="1414"/>
      <c r="O4" s="1414"/>
      <c r="P4" s="1414"/>
      <c r="Q4" s="1414"/>
      <c r="R4" s="1414"/>
      <c r="S4" s="1414"/>
      <c r="T4" s="1414"/>
      <c r="U4" s="1415"/>
      <c r="V4" s="1037"/>
      <c r="W4" s="9"/>
    </row>
    <row r="5" spans="1:34" s="800" customFormat="1" ht="10.15" customHeight="1" x14ac:dyDescent="0.25">
      <c r="A5" s="999"/>
      <c r="B5" s="999"/>
      <c r="C5" s="999"/>
      <c r="D5" s="999"/>
      <c r="E5" s="999"/>
      <c r="F5" s="999"/>
      <c r="G5" s="999"/>
      <c r="H5" s="999"/>
      <c r="I5" s="999"/>
      <c r="J5" s="999"/>
      <c r="K5" s="999"/>
      <c r="L5" s="999"/>
      <c r="M5" s="999"/>
      <c r="N5" s="999"/>
      <c r="O5" s="999"/>
      <c r="P5" s="999"/>
      <c r="Q5" s="999"/>
      <c r="R5" s="999"/>
      <c r="S5" s="999"/>
      <c r="T5" s="999"/>
      <c r="U5" s="999"/>
      <c r="V5" s="1037"/>
      <c r="W5" s="9"/>
    </row>
    <row r="6" spans="1:34" ht="10.15" customHeight="1" x14ac:dyDescent="0.25">
      <c r="A6" s="840"/>
      <c r="B6" s="840"/>
      <c r="C6" s="840"/>
      <c r="D6" s="840"/>
      <c r="E6" s="840"/>
      <c r="F6" s="840"/>
      <c r="G6" s="840"/>
      <c r="H6" s="840"/>
      <c r="I6" s="840"/>
      <c r="J6" s="840"/>
      <c r="K6" s="840"/>
      <c r="L6" s="840"/>
      <c r="M6" s="840"/>
      <c r="N6" s="840"/>
      <c r="O6" s="840"/>
      <c r="P6" s="840"/>
      <c r="Q6" s="840"/>
      <c r="R6" s="840"/>
      <c r="S6" s="840"/>
      <c r="T6" s="840"/>
      <c r="U6" s="840"/>
      <c r="V6" s="921"/>
    </row>
    <row r="7" spans="1:34" ht="15" customHeight="1" x14ac:dyDescent="0.25">
      <c r="A7" s="835"/>
      <c r="C7" s="834" t="s">
        <v>1013</v>
      </c>
      <c r="D7" s="725"/>
      <c r="E7" s="725"/>
      <c r="F7" s="725"/>
      <c r="G7" s="725"/>
      <c r="H7" s="725"/>
      <c r="I7" s="725"/>
      <c r="J7" s="725"/>
      <c r="K7" s="725"/>
      <c r="L7" s="725"/>
      <c r="M7" s="725"/>
      <c r="N7" s="725"/>
      <c r="O7" s="725"/>
      <c r="P7" s="725"/>
      <c r="Q7" s="725"/>
      <c r="R7" s="725"/>
      <c r="S7" s="725"/>
      <c r="T7" s="725"/>
      <c r="U7" s="949" t="s">
        <v>1093</v>
      </c>
      <c r="V7" s="921">
        <v>1</v>
      </c>
      <c r="W7" s="1042"/>
    </row>
    <row r="8" spans="1:34" ht="15" customHeight="1" x14ac:dyDescent="0.25">
      <c r="A8" s="835"/>
      <c r="C8" s="1421" t="s">
        <v>1073</v>
      </c>
      <c r="D8" s="1421"/>
      <c r="E8" s="1421"/>
      <c r="F8" s="1421"/>
      <c r="G8" s="1421"/>
      <c r="H8" s="1421"/>
      <c r="I8" s="1421"/>
      <c r="J8" s="1421"/>
      <c r="K8" s="1421"/>
      <c r="L8" s="1421"/>
      <c r="M8" s="1421"/>
      <c r="N8" s="1421"/>
      <c r="O8" s="1421"/>
      <c r="P8" s="1421"/>
      <c r="Q8" s="1421"/>
      <c r="R8" s="1421"/>
      <c r="S8" s="1421"/>
      <c r="T8" s="1421"/>
      <c r="U8" s="725"/>
      <c r="V8" s="921"/>
      <c r="W8" s="1042"/>
    </row>
    <row r="9" spans="1:34" ht="15" customHeight="1" x14ac:dyDescent="0.25">
      <c r="A9" s="835"/>
      <c r="C9" s="1421"/>
      <c r="D9" s="1421"/>
      <c r="E9" s="1421"/>
      <c r="F9" s="1421"/>
      <c r="G9" s="1421"/>
      <c r="H9" s="1421"/>
      <c r="I9" s="1421"/>
      <c r="J9" s="1421"/>
      <c r="K9" s="1421"/>
      <c r="L9" s="1421"/>
      <c r="M9" s="1421"/>
      <c r="N9" s="1421"/>
      <c r="O9" s="1421"/>
      <c r="P9" s="1421"/>
      <c r="Q9" s="1421"/>
      <c r="R9" s="1421"/>
      <c r="S9" s="1421"/>
      <c r="T9" s="1421"/>
      <c r="U9" s="838"/>
      <c r="V9" s="921"/>
      <c r="W9" s="1042"/>
    </row>
    <row r="10" spans="1:34" ht="15" customHeight="1" x14ac:dyDescent="0.25">
      <c r="A10" s="835"/>
      <c r="C10" s="1421"/>
      <c r="D10" s="1421"/>
      <c r="E10" s="1421"/>
      <c r="F10" s="1421"/>
      <c r="G10" s="1421"/>
      <c r="H10" s="1421"/>
      <c r="I10" s="1421"/>
      <c r="J10" s="1421"/>
      <c r="K10" s="1421"/>
      <c r="L10" s="1421"/>
      <c r="M10" s="1421"/>
      <c r="N10" s="1421"/>
      <c r="O10" s="1421"/>
      <c r="P10" s="1421"/>
      <c r="Q10" s="1421"/>
      <c r="R10" s="1421"/>
      <c r="S10" s="1421"/>
      <c r="T10" s="1421"/>
      <c r="U10" s="838"/>
      <c r="V10" s="921"/>
      <c r="W10" s="1042"/>
    </row>
    <row r="11" spans="1:34" ht="15" customHeight="1" x14ac:dyDescent="0.25">
      <c r="A11" s="835"/>
      <c r="C11" s="725"/>
      <c r="D11" s="725"/>
      <c r="E11" s="725"/>
      <c r="F11" s="725"/>
      <c r="G11" s="725"/>
      <c r="H11" s="725"/>
      <c r="I11" s="725"/>
      <c r="J11" s="725"/>
      <c r="K11" s="725"/>
      <c r="L11" s="725"/>
      <c r="M11" s="725"/>
      <c r="N11" s="725"/>
      <c r="O11" s="725"/>
      <c r="P11" s="1445" t="str">
        <f>X19</f>
        <v xml:space="preserve"> </v>
      </c>
      <c r="Q11" s="1445"/>
      <c r="R11" s="1445"/>
      <c r="S11" s="1445"/>
      <c r="T11" s="1445"/>
      <c r="U11" s="1445"/>
      <c r="V11" s="921"/>
      <c r="W11" s="1042"/>
    </row>
    <row r="12" spans="1:34" ht="15" customHeight="1" x14ac:dyDescent="0.25">
      <c r="A12" s="835"/>
      <c r="C12" s="826" t="s">
        <v>1014</v>
      </c>
      <c r="D12" s="826"/>
      <c r="E12" s="826"/>
      <c r="F12" s="1420" t="s">
        <v>1018</v>
      </c>
      <c r="G12" s="1420"/>
      <c r="H12" s="826"/>
      <c r="I12" s="1420" t="s">
        <v>810</v>
      </c>
      <c r="J12" s="1420"/>
      <c r="K12" s="725"/>
      <c r="L12" s="725"/>
      <c r="M12" s="725"/>
      <c r="N12" s="725"/>
      <c r="O12" s="725"/>
      <c r="P12" s="1445"/>
      <c r="Q12" s="1445"/>
      <c r="R12" s="1445"/>
      <c r="S12" s="1445"/>
      <c r="T12" s="1445"/>
      <c r="U12" s="1445"/>
      <c r="V12" s="921"/>
      <c r="W12" s="1042"/>
      <c r="AD12" s="819">
        <f>AVERAGE(I13:J15)</f>
        <v>67.666666666666671</v>
      </c>
    </row>
    <row r="13" spans="1:34" ht="15" customHeight="1" x14ac:dyDescent="0.25">
      <c r="A13" s="835"/>
      <c r="C13" s="827" t="s">
        <v>1017</v>
      </c>
      <c r="D13" s="725"/>
      <c r="E13" s="725"/>
      <c r="F13" s="1457">
        <v>30</v>
      </c>
      <c r="G13" s="1457"/>
      <c r="H13" s="828" t="str">
        <f t="shared" ref="H13:H15" si="0">X13</f>
        <v xml:space="preserve"> </v>
      </c>
      <c r="I13" s="1458">
        <v>56</v>
      </c>
      <c r="J13" s="1458"/>
      <c r="K13" s="725"/>
      <c r="L13" s="828" t="str">
        <f t="shared" ref="L13:M15" si="1">Y13</f>
        <v xml:space="preserve"> </v>
      </c>
      <c r="M13" s="1461" t="str">
        <f t="shared" si="1"/>
        <v xml:space="preserve"> </v>
      </c>
      <c r="N13" s="1461"/>
      <c r="O13" s="725"/>
      <c r="P13" s="1445"/>
      <c r="Q13" s="1445"/>
      <c r="R13" s="1445"/>
      <c r="S13" s="1445"/>
      <c r="T13" s="1445"/>
      <c r="U13" s="1445"/>
      <c r="V13" s="921"/>
      <c r="W13" s="1042"/>
      <c r="X13" s="823" t="str">
        <f t="shared" ref="X13:Y15" si="2">IF($S$20="x",AA13," ")</f>
        <v xml:space="preserve"> </v>
      </c>
      <c r="Y13" s="823" t="str">
        <f t="shared" si="2"/>
        <v xml:space="preserve"> </v>
      </c>
      <c r="Z13" s="823" t="str">
        <f>IF($S$20="x",AD13," ")</f>
        <v xml:space="preserve"> </v>
      </c>
      <c r="AA13" s="824" t="s">
        <v>1020</v>
      </c>
      <c r="AB13" s="824" t="s">
        <v>1021</v>
      </c>
      <c r="AC13" s="824"/>
      <c r="AD13" s="843">
        <f>I13*F13</f>
        <v>1680</v>
      </c>
      <c r="AE13" s="819"/>
      <c r="AF13" s="819"/>
      <c r="AH13" s="799" t="s">
        <v>1044</v>
      </c>
    </row>
    <row r="14" spans="1:34" ht="15" customHeight="1" x14ac:dyDescent="0.25">
      <c r="A14" s="835"/>
      <c r="C14" s="827" t="s">
        <v>1015</v>
      </c>
      <c r="D14" s="725"/>
      <c r="E14" s="725"/>
      <c r="F14" s="1457">
        <v>20</v>
      </c>
      <c r="G14" s="1457"/>
      <c r="H14" s="828" t="str">
        <f t="shared" si="0"/>
        <v xml:space="preserve"> </v>
      </c>
      <c r="I14" s="1458">
        <v>79</v>
      </c>
      <c r="J14" s="1458"/>
      <c r="K14" s="725"/>
      <c r="L14" s="828" t="str">
        <f t="shared" si="1"/>
        <v xml:space="preserve"> </v>
      </c>
      <c r="M14" s="1461" t="str">
        <f t="shared" si="1"/>
        <v xml:space="preserve"> </v>
      </c>
      <c r="N14" s="1461"/>
      <c r="O14" s="725"/>
      <c r="P14" s="1445"/>
      <c r="Q14" s="1445"/>
      <c r="R14" s="1445"/>
      <c r="S14" s="1445"/>
      <c r="T14" s="1445"/>
      <c r="U14" s="1445"/>
      <c r="V14" s="921"/>
      <c r="W14" s="1042"/>
      <c r="X14" s="823" t="str">
        <f t="shared" si="2"/>
        <v xml:space="preserve"> </v>
      </c>
      <c r="Y14" s="823" t="str">
        <f t="shared" si="2"/>
        <v xml:space="preserve"> </v>
      </c>
      <c r="Z14" s="823" t="str">
        <f>IF($S$20="x",AD14," ")</f>
        <v xml:space="preserve"> </v>
      </c>
      <c r="AA14" s="824" t="s">
        <v>1020</v>
      </c>
      <c r="AB14" s="824" t="s">
        <v>1021</v>
      </c>
      <c r="AC14" s="823"/>
      <c r="AD14" s="843">
        <f>I14*F14</f>
        <v>1580</v>
      </c>
      <c r="AE14" s="819"/>
      <c r="AF14" s="819"/>
      <c r="AG14">
        <f>AD14+AD13</f>
        <v>3260</v>
      </c>
      <c r="AH14">
        <f>AG14/50</f>
        <v>65.2</v>
      </c>
    </row>
    <row r="15" spans="1:34" ht="15" customHeight="1" x14ac:dyDescent="0.25">
      <c r="A15" s="835"/>
      <c r="C15" s="829" t="s">
        <v>1016</v>
      </c>
      <c r="D15" s="830"/>
      <c r="E15" s="831"/>
      <c r="F15" s="1464">
        <v>50</v>
      </c>
      <c r="G15" s="1464"/>
      <c r="H15" s="46" t="str">
        <f t="shared" si="0"/>
        <v xml:space="preserve"> </v>
      </c>
      <c r="I15" s="1444">
        <v>68</v>
      </c>
      <c r="J15" s="1444"/>
      <c r="K15" s="725"/>
      <c r="L15" s="828" t="str">
        <f t="shared" si="1"/>
        <v xml:space="preserve"> </v>
      </c>
      <c r="M15" s="1461" t="str">
        <f t="shared" si="1"/>
        <v xml:space="preserve"> </v>
      </c>
      <c r="N15" s="1461"/>
      <c r="O15" s="725"/>
      <c r="P15" s="1445"/>
      <c r="Q15" s="1445"/>
      <c r="R15" s="1445"/>
      <c r="S15" s="1445"/>
      <c r="T15" s="1445"/>
      <c r="U15" s="1445"/>
      <c r="V15" s="921"/>
      <c r="W15" s="1042"/>
      <c r="X15" s="823" t="str">
        <f t="shared" si="2"/>
        <v xml:space="preserve"> </v>
      </c>
      <c r="Y15" s="823" t="str">
        <f t="shared" si="2"/>
        <v xml:space="preserve"> </v>
      </c>
      <c r="Z15" s="823" t="str">
        <f>IF($S$20="x",AD15," ")</f>
        <v xml:space="preserve"> </v>
      </c>
      <c r="AA15" s="824" t="s">
        <v>1020</v>
      </c>
      <c r="AB15" s="824" t="s">
        <v>1021</v>
      </c>
      <c r="AC15" s="823"/>
      <c r="AD15" s="843">
        <f>I15*F15</f>
        <v>3400</v>
      </c>
      <c r="AE15" s="819"/>
      <c r="AF15" s="819"/>
    </row>
    <row r="16" spans="1:34" ht="15" customHeight="1" x14ac:dyDescent="0.25">
      <c r="A16" s="835"/>
      <c r="C16" s="832"/>
      <c r="D16" s="832"/>
      <c r="E16" s="832"/>
      <c r="F16" s="1465">
        <f>SUM(F13:F15)</f>
        <v>100</v>
      </c>
      <c r="G16" s="1465"/>
      <c r="H16" s="832"/>
      <c r="I16" s="1460"/>
      <c r="J16" s="1460"/>
      <c r="K16" s="832"/>
      <c r="L16" s="832"/>
      <c r="M16" s="1462" t="str">
        <f>X16</f>
        <v xml:space="preserve"> </v>
      </c>
      <c r="N16" s="1462"/>
      <c r="O16" s="833" t="str">
        <f>X17</f>
        <v xml:space="preserve"> </v>
      </c>
      <c r="P16" s="946" t="str">
        <f>Y17</f>
        <v xml:space="preserve"> </v>
      </c>
      <c r="Q16" s="932"/>
      <c r="R16" s="1463" t="str">
        <f>Z17</f>
        <v xml:space="preserve"> </v>
      </c>
      <c r="S16" s="1463"/>
      <c r="T16" s="725"/>
      <c r="U16" s="725"/>
      <c r="V16" s="921"/>
      <c r="W16" s="1042"/>
      <c r="X16" s="823" t="str">
        <f>IF($S$20="x",AD16," ")</f>
        <v xml:space="preserve"> </v>
      </c>
      <c r="Y16" s="823"/>
      <c r="Z16" s="824"/>
      <c r="AA16" s="824"/>
      <c r="AB16" s="824"/>
      <c r="AC16" s="824"/>
      <c r="AD16" s="843">
        <f>SUM(AD13:AD15)</f>
        <v>6660</v>
      </c>
      <c r="AE16" s="819"/>
      <c r="AF16" s="820"/>
    </row>
    <row r="17" spans="1:48" ht="15" customHeight="1" x14ac:dyDescent="0.25">
      <c r="A17" s="835"/>
      <c r="C17" s="1448" t="s">
        <v>1051</v>
      </c>
      <c r="D17" s="1448"/>
      <c r="E17" s="1448"/>
      <c r="F17" s="1448"/>
      <c r="G17" s="1448"/>
      <c r="H17" s="1448"/>
      <c r="I17" s="1448"/>
      <c r="J17" s="1448"/>
      <c r="K17" s="1448"/>
      <c r="L17" s="1448"/>
      <c r="M17" s="1448"/>
      <c r="N17" s="1448"/>
      <c r="O17" s="1448"/>
      <c r="P17" s="1448"/>
      <c r="Q17" s="1448"/>
      <c r="R17" s="1448"/>
      <c r="S17" s="1448"/>
      <c r="T17" s="901"/>
      <c r="U17" s="839"/>
      <c r="V17" s="921"/>
      <c r="W17" s="1042"/>
      <c r="X17" s="823" t="str">
        <f>IF($S$20="x",AA17," ")</f>
        <v xml:space="preserve"> </v>
      </c>
      <c r="Y17" s="823" t="str">
        <f>IF($S$20="x",AB17," ")</f>
        <v xml:space="preserve"> </v>
      </c>
      <c r="Z17" s="823" t="str">
        <f>IF($S$20="x",AD17," ")</f>
        <v xml:space="preserve"> </v>
      </c>
      <c r="AA17" s="825" t="s">
        <v>1022</v>
      </c>
      <c r="AB17" s="823" t="s">
        <v>1090</v>
      </c>
      <c r="AC17" s="824" t="s">
        <v>1021</v>
      </c>
      <c r="AD17" s="843">
        <f>AD16/100</f>
        <v>66.599999999999994</v>
      </c>
    </row>
    <row r="18" spans="1:48" ht="15" customHeight="1" x14ac:dyDescent="0.25">
      <c r="A18" s="835"/>
      <c r="C18" s="1429"/>
      <c r="D18" s="1429"/>
      <c r="E18" s="1429"/>
      <c r="F18" s="1429"/>
      <c r="G18" s="1429"/>
      <c r="H18" s="1429"/>
      <c r="I18" s="1429"/>
      <c r="J18" s="1429"/>
      <c r="K18" s="1429"/>
      <c r="L18" s="1429"/>
      <c r="M18" s="1429"/>
      <c r="N18" s="1429"/>
      <c r="O18" s="1429"/>
      <c r="P18" s="1429"/>
      <c r="Q18" s="1429"/>
      <c r="R18" s="1429"/>
      <c r="S18" s="1429"/>
      <c r="T18" s="901"/>
      <c r="U18" s="839"/>
      <c r="V18" s="921"/>
      <c r="W18" s="1042"/>
      <c r="X18" s="799"/>
    </row>
    <row r="19" spans="1:48" ht="15" customHeight="1" x14ac:dyDescent="0.25">
      <c r="A19" s="835"/>
      <c r="C19" s="901"/>
      <c r="D19" s="901"/>
      <c r="E19" s="901"/>
      <c r="F19" s="901"/>
      <c r="G19" s="901"/>
      <c r="H19" s="901"/>
      <c r="I19" s="901"/>
      <c r="J19" s="901"/>
      <c r="K19" s="901"/>
      <c r="L19" s="901"/>
      <c r="M19" s="901"/>
      <c r="N19" s="901"/>
      <c r="O19" s="901"/>
      <c r="P19" s="901"/>
      <c r="Q19" s="901"/>
      <c r="R19" s="901"/>
      <c r="S19" s="901"/>
      <c r="T19" s="901"/>
      <c r="U19" s="839"/>
      <c r="V19" s="921"/>
      <c r="W19" s="1042"/>
      <c r="X19" s="823" t="str">
        <f>IF($S$20="x",AD19," ")</f>
        <v xml:space="preserve"> </v>
      </c>
      <c r="AD19" s="819" t="s">
        <v>1086</v>
      </c>
    </row>
    <row r="20" spans="1:48" ht="15" customHeight="1" x14ac:dyDescent="0.25">
      <c r="A20" s="835"/>
      <c r="C20" s="834" t="s">
        <v>1019</v>
      </c>
      <c r="D20" s="725"/>
      <c r="E20" s="725"/>
      <c r="F20" s="725"/>
      <c r="G20" s="725"/>
      <c r="H20" s="725"/>
      <c r="I20" s="725"/>
      <c r="J20" s="725"/>
      <c r="K20" s="725"/>
      <c r="L20" s="725"/>
      <c r="M20" s="725"/>
      <c r="N20" s="725"/>
      <c r="O20" s="725"/>
      <c r="P20" s="725"/>
      <c r="Q20" s="725"/>
      <c r="R20" s="725"/>
      <c r="S20" s="1043"/>
      <c r="T20" s="725"/>
      <c r="U20" s="725"/>
      <c r="V20" s="921"/>
      <c r="W20" s="1042"/>
    </row>
    <row r="21" spans="1:48" ht="15" customHeight="1" x14ac:dyDescent="0.25">
      <c r="A21" s="835"/>
      <c r="C21" s="1437" t="s">
        <v>1122</v>
      </c>
      <c r="D21" s="1437"/>
      <c r="E21" s="1437"/>
      <c r="F21" s="1437"/>
      <c r="G21" s="1437"/>
      <c r="H21" s="1437"/>
      <c r="I21" s="1437"/>
      <c r="J21" s="1437"/>
      <c r="K21" s="1437"/>
      <c r="L21" s="1437"/>
      <c r="M21" s="1437"/>
      <c r="N21" s="1437"/>
      <c r="O21" s="1437"/>
      <c r="P21" s="1437"/>
      <c r="Q21" s="1437"/>
      <c r="R21" s="1437"/>
      <c r="S21" s="1437"/>
      <c r="T21" s="1437"/>
      <c r="U21" s="838"/>
      <c r="V21" s="921"/>
      <c r="W21" s="1042"/>
      <c r="X21" s="837">
        <f>IF(S20="x",1,0)</f>
        <v>0</v>
      </c>
    </row>
    <row r="22" spans="1:48" ht="15" customHeight="1" x14ac:dyDescent="0.25">
      <c r="A22" s="835"/>
      <c r="C22" s="1437"/>
      <c r="D22" s="1437"/>
      <c r="E22" s="1437"/>
      <c r="F22" s="1437"/>
      <c r="G22" s="1437"/>
      <c r="H22" s="1437"/>
      <c r="I22" s="1437"/>
      <c r="J22" s="1437"/>
      <c r="K22" s="1437"/>
      <c r="L22" s="1437"/>
      <c r="M22" s="1437"/>
      <c r="N22" s="1437"/>
      <c r="O22" s="1437"/>
      <c r="P22" s="1437"/>
      <c r="Q22" s="1437"/>
      <c r="R22" s="1437"/>
      <c r="S22" s="1437"/>
      <c r="T22" s="1437"/>
      <c r="U22" s="838"/>
      <c r="V22" s="921"/>
      <c r="W22" s="1042"/>
    </row>
    <row r="23" spans="1:48" ht="15" customHeight="1" x14ac:dyDescent="0.25">
      <c r="A23" s="835"/>
      <c r="C23" s="1437"/>
      <c r="D23" s="1437"/>
      <c r="E23" s="1437"/>
      <c r="F23" s="1437"/>
      <c r="G23" s="1437"/>
      <c r="H23" s="1437"/>
      <c r="I23" s="1437"/>
      <c r="J23" s="1437"/>
      <c r="K23" s="1437"/>
      <c r="L23" s="1437"/>
      <c r="M23" s="1437"/>
      <c r="N23" s="1437"/>
      <c r="O23" s="1437"/>
      <c r="P23" s="1437"/>
      <c r="Q23" s="1437"/>
      <c r="R23" s="1437"/>
      <c r="S23" s="1437"/>
      <c r="T23" s="1437"/>
      <c r="U23" s="838"/>
      <c r="V23" s="921"/>
      <c r="W23" s="1042"/>
    </row>
    <row r="24" spans="1:48" ht="15" customHeight="1" x14ac:dyDescent="0.25">
      <c r="A24" s="835"/>
      <c r="C24" s="900" t="str">
        <f>X26</f>
        <v xml:space="preserve"> </v>
      </c>
      <c r="D24" s="838"/>
      <c r="E24" s="838"/>
      <c r="F24" s="838"/>
      <c r="G24" s="838"/>
      <c r="H24" s="838"/>
      <c r="I24" s="838"/>
      <c r="J24" s="838"/>
      <c r="K24" s="725"/>
      <c r="L24" s="725"/>
      <c r="M24" s="838"/>
      <c r="N24" s="725"/>
      <c r="O24" s="725"/>
      <c r="P24" s="838"/>
      <c r="Q24" s="838"/>
      <c r="R24" s="846" t="str">
        <f>X25</f>
        <v xml:space="preserve"> </v>
      </c>
      <c r="S24" s="1454"/>
      <c r="T24" s="1455"/>
      <c r="U24" s="838"/>
      <c r="V24" s="921"/>
      <c r="W24" s="1042"/>
    </row>
    <row r="25" spans="1:48" ht="15" customHeight="1" x14ac:dyDescent="0.25">
      <c r="A25" s="835"/>
      <c r="C25" s="1449" t="str">
        <f>AA27</f>
        <v xml:space="preserve"> </v>
      </c>
      <c r="D25" s="1449"/>
      <c r="E25" s="1449"/>
      <c r="F25" s="1449"/>
      <c r="G25" s="1449"/>
      <c r="H25" s="1449"/>
      <c r="I25" s="1449"/>
      <c r="J25" s="1449"/>
      <c r="K25" s="1449"/>
      <c r="L25" s="1449"/>
      <c r="M25" s="1449"/>
      <c r="N25" s="1449"/>
      <c r="O25" s="1449"/>
      <c r="P25" s="1449"/>
      <c r="Q25" s="1449"/>
      <c r="R25" s="1449"/>
      <c r="S25" s="1449"/>
      <c r="T25" s="1449"/>
      <c r="U25" s="838"/>
      <c r="V25" s="921"/>
      <c r="W25" s="1042"/>
      <c r="X25" s="823" t="str">
        <f>IF($S$20="x",AD25," ")</f>
        <v xml:space="preserve"> </v>
      </c>
      <c r="AD25" s="847" t="s">
        <v>1045</v>
      </c>
    </row>
    <row r="26" spans="1:48" ht="15" customHeight="1" x14ac:dyDescent="0.25">
      <c r="A26" s="835"/>
      <c r="C26" s="834" t="str">
        <f>X30</f>
        <v xml:space="preserve"> </v>
      </c>
      <c r="D26" s="725"/>
      <c r="E26" s="725"/>
      <c r="F26" s="725"/>
      <c r="G26" s="725"/>
      <c r="H26" s="725"/>
      <c r="I26" s="725"/>
      <c r="J26" s="725"/>
      <c r="K26" s="725"/>
      <c r="L26" s="725"/>
      <c r="M26" s="725"/>
      <c r="N26" s="725"/>
      <c r="O26" s="725"/>
      <c r="P26" s="725"/>
      <c r="Q26" s="725"/>
      <c r="R26" s="725"/>
      <c r="S26" s="725"/>
      <c r="T26" s="725"/>
      <c r="U26" s="725"/>
      <c r="V26" s="921"/>
      <c r="W26" s="1042"/>
      <c r="X26" s="823" t="str">
        <f>IF($S$20="x",AD26," ")</f>
        <v xml:space="preserve"> </v>
      </c>
      <c r="AD26" s="819" t="s">
        <v>1043</v>
      </c>
    </row>
    <row r="27" spans="1:48" ht="15" customHeight="1" x14ac:dyDescent="0.25">
      <c r="A27" s="835"/>
      <c r="B27" s="831"/>
      <c r="C27" s="1430" t="str">
        <f>X31</f>
        <v xml:space="preserve"> </v>
      </c>
      <c r="D27" s="1430"/>
      <c r="E27" s="1430"/>
      <c r="F27" s="1430"/>
      <c r="G27" s="1430"/>
      <c r="H27" s="1430"/>
      <c r="I27" s="1430"/>
      <c r="J27" s="1430"/>
      <c r="K27" s="1430"/>
      <c r="L27" s="1430"/>
      <c r="M27" s="1430"/>
      <c r="N27" s="1430"/>
      <c r="O27" s="1430"/>
      <c r="P27" s="1430"/>
      <c r="Q27" s="1430"/>
      <c r="R27" s="1430"/>
      <c r="T27" s="852"/>
      <c r="U27" s="831"/>
      <c r="V27" s="921"/>
      <c r="W27" s="1042"/>
      <c r="X27" s="823"/>
      <c r="AA27" s="842" t="str">
        <f>IF(X21=1,AB27," ")</f>
        <v xml:space="preserve"> </v>
      </c>
      <c r="AB27" t="str">
        <f>IF(AE29&gt;0,AD27," ")</f>
        <v xml:space="preserve"> </v>
      </c>
      <c r="AC27" s="799"/>
      <c r="AD27" s="844" t="str">
        <f>IF(AF29=1,AG27,AG28)</f>
        <v xml:space="preserve">Incorrect -  the coursework mark is: (30 x 56) + (20  x 79) = 3,260, divided by 50 credits gives 65.2%, which rounded down is 65% </v>
      </c>
      <c r="AF27">
        <f>IF(S24="65",1,0)</f>
        <v>0</v>
      </c>
      <c r="AG27" s="843" t="s">
        <v>1080</v>
      </c>
    </row>
    <row r="28" spans="1:48" ht="15" customHeight="1" x14ac:dyDescent="0.25">
      <c r="A28" s="835"/>
      <c r="B28" s="831"/>
      <c r="C28" s="1430"/>
      <c r="D28" s="1430"/>
      <c r="E28" s="1430"/>
      <c r="F28" s="1430"/>
      <c r="G28" s="1430"/>
      <c r="H28" s="1430"/>
      <c r="I28" s="1430"/>
      <c r="J28" s="1430"/>
      <c r="K28" s="1430"/>
      <c r="L28" s="1430"/>
      <c r="M28" s="1430"/>
      <c r="N28" s="1430"/>
      <c r="O28" s="1430"/>
      <c r="P28" s="1430"/>
      <c r="Q28" s="1430"/>
      <c r="R28" s="1430"/>
      <c r="S28" s="1043"/>
      <c r="T28" s="852"/>
      <c r="U28" s="831"/>
      <c r="V28" s="921"/>
      <c r="W28" s="1042"/>
      <c r="X28" s="3"/>
      <c r="Y28" s="3"/>
      <c r="Z28" s="3"/>
      <c r="AE28" s="3"/>
      <c r="AF28" s="3">
        <f>IF(S24="65%",1,0)</f>
        <v>0</v>
      </c>
      <c r="AG28" s="843" t="s">
        <v>1081</v>
      </c>
      <c r="AH28" s="3"/>
      <c r="AI28" s="3"/>
      <c r="AJ28" s="3"/>
      <c r="AK28" s="3"/>
      <c r="AL28" s="3"/>
      <c r="AM28" s="3"/>
      <c r="AN28" s="3"/>
      <c r="AO28" s="3"/>
      <c r="AP28" s="3"/>
    </row>
    <row r="29" spans="1:48" ht="15" customHeight="1" x14ac:dyDescent="0.25">
      <c r="A29" s="835"/>
      <c r="B29" s="831"/>
      <c r="C29" s="725"/>
      <c r="D29" s="854" t="str">
        <f t="shared" ref="D29:D37" si="3">X33</f>
        <v xml:space="preserve"> </v>
      </c>
      <c r="E29" s="831"/>
      <c r="F29" s="831"/>
      <c r="G29" s="831"/>
      <c r="H29" s="831"/>
      <c r="I29" s="831"/>
      <c r="J29" s="831"/>
      <c r="K29" s="831"/>
      <c r="L29" s="831"/>
      <c r="M29" s="831"/>
      <c r="N29" s="831"/>
      <c r="O29" s="831"/>
      <c r="P29" s="831"/>
      <c r="Q29" s="831"/>
      <c r="R29" s="831"/>
      <c r="S29" s="831"/>
      <c r="T29" s="831"/>
      <c r="U29" s="831"/>
      <c r="V29" s="921"/>
      <c r="W29" s="1042"/>
      <c r="X29" s="837">
        <f>IF(AE29&gt;0,1,0)</f>
        <v>0</v>
      </c>
      <c r="Y29" s="3"/>
      <c r="Z29" s="3"/>
      <c r="AA29" s="3"/>
      <c r="AB29" s="3"/>
      <c r="AC29" s="3"/>
      <c r="AD29" s="3"/>
      <c r="AE29" s="3">
        <f>LEN(S24)</f>
        <v>0</v>
      </c>
      <c r="AF29" s="841">
        <f>AF28+AF27</f>
        <v>0</v>
      </c>
      <c r="AG29" s="3"/>
      <c r="AH29" s="3"/>
      <c r="AI29" s="3"/>
      <c r="AJ29" s="3"/>
      <c r="AK29" s="3"/>
      <c r="AL29" s="3"/>
      <c r="AM29" s="3"/>
      <c r="AN29" s="3"/>
      <c r="AO29" s="3"/>
      <c r="AP29" s="3"/>
    </row>
    <row r="30" spans="1:48" ht="15" customHeight="1" x14ac:dyDescent="0.25">
      <c r="A30" s="835"/>
      <c r="B30" s="831"/>
      <c r="C30" s="725"/>
      <c r="D30" s="850" t="str">
        <f t="shared" si="3"/>
        <v xml:space="preserve"> </v>
      </c>
      <c r="E30" s="40" t="str">
        <f>Y34</f>
        <v xml:space="preserve"> </v>
      </c>
      <c r="F30" s="40" t="str">
        <f>Z34</f>
        <v xml:space="preserve"> </v>
      </c>
      <c r="G30" s="1452" t="str">
        <f t="shared" ref="G30" si="4">AL45</f>
        <v xml:space="preserve"> </v>
      </c>
      <c r="H30" s="1452"/>
      <c r="I30" s="725"/>
      <c r="J30" s="850" t="str">
        <f t="shared" ref="J30:L31" si="5">AB34</f>
        <v xml:space="preserve"> </v>
      </c>
      <c r="K30" s="40" t="str">
        <f t="shared" si="5"/>
        <v xml:space="preserve"> </v>
      </c>
      <c r="L30" s="40" t="str">
        <f t="shared" si="5"/>
        <v xml:space="preserve"> </v>
      </c>
      <c r="M30" s="1452" t="str">
        <f t="shared" ref="M30" si="6">AP45</f>
        <v xml:space="preserve"> </v>
      </c>
      <c r="N30" s="1452"/>
      <c r="O30" s="725"/>
      <c r="P30" s="850" t="str">
        <f t="shared" ref="P30:R31" si="7">AF34</f>
        <v xml:space="preserve"> </v>
      </c>
      <c r="Q30" s="40" t="str">
        <f t="shared" si="7"/>
        <v xml:space="preserve"> </v>
      </c>
      <c r="R30" s="40" t="str">
        <f t="shared" si="7"/>
        <v xml:space="preserve"> </v>
      </c>
      <c r="S30" s="1452" t="str">
        <f>AT45</f>
        <v xml:space="preserve"> </v>
      </c>
      <c r="T30" s="1452"/>
      <c r="U30" s="831"/>
      <c r="V30" s="921"/>
      <c r="W30" s="1042"/>
      <c r="X30" s="3" t="str">
        <f>IF($AE$29&gt;0,AD30," ")</f>
        <v xml:space="preserve"> </v>
      </c>
      <c r="Y30" s="3"/>
      <c r="Z30" s="3"/>
      <c r="AA30" s="3"/>
      <c r="AB30" s="3"/>
      <c r="AC30" s="3"/>
      <c r="AD30" s="845" t="s">
        <v>1042</v>
      </c>
      <c r="AE30" s="3"/>
      <c r="AF30" s="841"/>
      <c r="AG30" s="3"/>
      <c r="AH30" s="3"/>
      <c r="AI30" s="3"/>
      <c r="AJ30" s="3"/>
      <c r="AK30" s="3"/>
      <c r="AL30" s="3"/>
      <c r="AM30" s="3"/>
      <c r="AN30" s="3"/>
      <c r="AO30" s="3"/>
      <c r="AP30" s="3"/>
      <c r="AQ30" s="799"/>
      <c r="AR30" s="799"/>
      <c r="AS30" s="799"/>
      <c r="AT30" s="799"/>
      <c r="AU30" s="799"/>
      <c r="AV30" s="799"/>
    </row>
    <row r="31" spans="1:48" ht="15" customHeight="1" x14ac:dyDescent="0.25">
      <c r="A31" s="835"/>
      <c r="B31" s="831"/>
      <c r="C31" s="725"/>
      <c r="D31" s="132" t="str">
        <f t="shared" si="3"/>
        <v xml:space="preserve"> </v>
      </c>
      <c r="E31" s="373" t="str">
        <f>Y35</f>
        <v xml:space="preserve"> </v>
      </c>
      <c r="F31" s="853" t="str">
        <f>Z35</f>
        <v xml:space="preserve"> </v>
      </c>
      <c r="G31" s="1452" t="str">
        <f t="shared" ref="G31:G37" si="8">AL46</f>
        <v xml:space="preserve"> </v>
      </c>
      <c r="H31" s="1452"/>
      <c r="I31" s="725"/>
      <c r="J31" s="132" t="str">
        <f t="shared" si="5"/>
        <v xml:space="preserve"> </v>
      </c>
      <c r="K31" s="373" t="str">
        <f t="shared" si="5"/>
        <v xml:space="preserve"> </v>
      </c>
      <c r="L31" s="853" t="str">
        <f t="shared" si="5"/>
        <v xml:space="preserve"> </v>
      </c>
      <c r="M31" s="1452" t="str">
        <f t="shared" ref="M31:M37" si="9">AP46</f>
        <v xml:space="preserve"> </v>
      </c>
      <c r="N31" s="1452"/>
      <c r="O31" s="725"/>
      <c r="P31" s="132" t="str">
        <f t="shared" si="7"/>
        <v xml:space="preserve"> </v>
      </c>
      <c r="Q31" s="373" t="str">
        <f t="shared" si="7"/>
        <v xml:space="preserve"> </v>
      </c>
      <c r="R31" s="853" t="str">
        <f t="shared" si="7"/>
        <v xml:space="preserve"> </v>
      </c>
      <c r="S31" s="1452" t="str">
        <f>AT46</f>
        <v xml:space="preserve"> </v>
      </c>
      <c r="T31" s="1452"/>
      <c r="U31" s="517"/>
      <c r="V31" s="921"/>
      <c r="W31" s="1042"/>
      <c r="X31" s="859" t="str">
        <f>IF(X21=1,AB31," ")</f>
        <v xml:space="preserve"> </v>
      </c>
      <c r="Y31" s="3"/>
      <c r="Z31" s="3"/>
      <c r="AA31" s="3"/>
      <c r="AB31" s="3" t="str">
        <f>IF($AE$29&gt;0,AD31," ")</f>
        <v xml:space="preserve"> </v>
      </c>
      <c r="AD31" s="843" t="s">
        <v>1082</v>
      </c>
      <c r="AE31" s="3"/>
      <c r="AF31" s="3"/>
      <c r="AG31" s="3"/>
      <c r="AH31" s="3"/>
      <c r="AI31" s="3"/>
      <c r="AJ31" s="3"/>
      <c r="AK31" s="3"/>
      <c r="AL31" s="3"/>
      <c r="AM31" s="3"/>
      <c r="AN31" s="3"/>
      <c r="AO31" s="3"/>
      <c r="AP31" s="3"/>
    </row>
    <row r="32" spans="1:48" s="799" customFormat="1" ht="15" customHeight="1" x14ac:dyDescent="0.25">
      <c r="A32" s="835"/>
      <c r="B32" s="831"/>
      <c r="C32" s="725"/>
      <c r="D32" s="132" t="str">
        <f t="shared" si="3"/>
        <v xml:space="preserve"> </v>
      </c>
      <c r="E32" s="373" t="str">
        <f t="shared" ref="E32:F36" si="10">Y36</f>
        <v xml:space="preserve"> </v>
      </c>
      <c r="F32" s="853" t="str">
        <f t="shared" si="10"/>
        <v xml:space="preserve"> </v>
      </c>
      <c r="G32" s="1452" t="str">
        <f t="shared" si="8"/>
        <v xml:space="preserve"> </v>
      </c>
      <c r="H32" s="1452"/>
      <c r="I32" s="725"/>
      <c r="J32" s="132" t="str">
        <f t="shared" ref="J32:J37" si="11">AB36</f>
        <v xml:space="preserve"> </v>
      </c>
      <c r="K32" s="373" t="str">
        <f t="shared" ref="K32:K36" si="12">AC36</f>
        <v xml:space="preserve"> </v>
      </c>
      <c r="L32" s="853" t="str">
        <f t="shared" ref="L32:L36" si="13">AD36</f>
        <v xml:space="preserve"> </v>
      </c>
      <c r="M32" s="1452" t="str">
        <f t="shared" si="9"/>
        <v xml:space="preserve"> </v>
      </c>
      <c r="N32" s="1452"/>
      <c r="O32" s="725"/>
      <c r="P32" s="132" t="str">
        <f t="shared" ref="P32:P37" si="14">AF36</f>
        <v xml:space="preserve"> </v>
      </c>
      <c r="Q32" s="373" t="str">
        <f t="shared" ref="Q32:Q37" si="15">AG36</f>
        <v xml:space="preserve"> </v>
      </c>
      <c r="R32" s="853" t="str">
        <f t="shared" ref="R32:R36" si="16">AH36</f>
        <v xml:space="preserve"> </v>
      </c>
      <c r="S32" s="1452" t="str">
        <f t="shared" ref="S32:S37" si="17">AT47</f>
        <v xml:space="preserve"> </v>
      </c>
      <c r="T32" s="1452"/>
      <c r="U32" s="517"/>
      <c r="V32" s="921"/>
      <c r="W32" s="1042"/>
      <c r="X32" s="837">
        <f>IF(S28="x",1,0)</f>
        <v>0</v>
      </c>
      <c r="Y32" s="3"/>
      <c r="Z32" s="3"/>
      <c r="AA32" s="3"/>
      <c r="AB32" s="3"/>
      <c r="AC32" s="3"/>
      <c r="AD32" s="843"/>
      <c r="AE32" s="3"/>
      <c r="AF32" s="3"/>
      <c r="AG32" s="3"/>
      <c r="AH32" s="3"/>
      <c r="AI32" s="3"/>
      <c r="AJ32" s="3"/>
      <c r="AK32" s="3"/>
      <c r="AL32" s="3"/>
      <c r="AM32" s="3"/>
      <c r="AN32" s="3"/>
      <c r="AO32" s="3"/>
      <c r="AP32" s="3"/>
    </row>
    <row r="33" spans="1:54" ht="15" customHeight="1" x14ac:dyDescent="0.25">
      <c r="A33" s="835"/>
      <c r="B33" s="831"/>
      <c r="C33" s="725"/>
      <c r="D33" s="132" t="str">
        <f t="shared" si="3"/>
        <v xml:space="preserve"> </v>
      </c>
      <c r="E33" s="373" t="str">
        <f t="shared" si="10"/>
        <v xml:space="preserve"> </v>
      </c>
      <c r="F33" s="853" t="str">
        <f t="shared" si="10"/>
        <v xml:space="preserve"> </v>
      </c>
      <c r="G33" s="1452" t="str">
        <f t="shared" si="8"/>
        <v xml:space="preserve"> </v>
      </c>
      <c r="H33" s="1452"/>
      <c r="I33" s="725"/>
      <c r="J33" s="132" t="str">
        <f t="shared" si="11"/>
        <v xml:space="preserve"> </v>
      </c>
      <c r="K33" s="373" t="str">
        <f t="shared" si="12"/>
        <v xml:space="preserve"> </v>
      </c>
      <c r="L33" s="853" t="str">
        <f t="shared" si="13"/>
        <v xml:space="preserve"> </v>
      </c>
      <c r="M33" s="1452" t="str">
        <f t="shared" si="9"/>
        <v xml:space="preserve"> </v>
      </c>
      <c r="N33" s="1452"/>
      <c r="O33" s="725"/>
      <c r="P33" s="132" t="str">
        <f t="shared" si="14"/>
        <v xml:space="preserve"> </v>
      </c>
      <c r="Q33" s="373" t="str">
        <f t="shared" si="15"/>
        <v xml:space="preserve"> </v>
      </c>
      <c r="R33" s="853" t="str">
        <f t="shared" si="16"/>
        <v xml:space="preserve"> </v>
      </c>
      <c r="S33" s="1452" t="str">
        <f t="shared" si="17"/>
        <v xml:space="preserve"> </v>
      </c>
      <c r="T33" s="1452"/>
      <c r="U33" s="517"/>
      <c r="V33" s="921"/>
      <c r="W33" s="1042"/>
      <c r="X33" s="823" t="str">
        <f>IF(AE29&gt;0,AJ33," ")</f>
        <v xml:space="preserve"> </v>
      </c>
      <c r="Y33" s="3"/>
      <c r="Z33" s="3"/>
      <c r="AA33" s="3"/>
      <c r="AB33" s="3"/>
      <c r="AC33" s="3"/>
      <c r="AD33" s="3"/>
      <c r="AE33" s="3"/>
      <c r="AF33" s="3"/>
      <c r="AG33" s="3"/>
      <c r="AH33" s="3"/>
      <c r="AI33" s="3"/>
      <c r="AJ33" s="3" t="s">
        <v>1087</v>
      </c>
      <c r="AK33" s="3"/>
      <c r="AL33" s="3"/>
      <c r="AM33" s="3"/>
      <c r="AN33" s="3"/>
      <c r="AO33" s="3"/>
      <c r="AP33" s="3"/>
      <c r="AR33" s="800" t="s">
        <v>1092</v>
      </c>
    </row>
    <row r="34" spans="1:54" ht="15" customHeight="1" x14ac:dyDescent="0.25">
      <c r="A34" s="835"/>
      <c r="B34" s="831"/>
      <c r="C34" s="725"/>
      <c r="D34" s="132" t="str">
        <f t="shared" si="3"/>
        <v xml:space="preserve"> </v>
      </c>
      <c r="E34" s="373" t="str">
        <f t="shared" si="10"/>
        <v xml:space="preserve"> </v>
      </c>
      <c r="F34" s="853" t="str">
        <f t="shared" si="10"/>
        <v xml:space="preserve"> </v>
      </c>
      <c r="G34" s="1452" t="str">
        <f t="shared" si="8"/>
        <v xml:space="preserve"> </v>
      </c>
      <c r="H34" s="1452"/>
      <c r="I34" s="725"/>
      <c r="J34" s="132" t="str">
        <f t="shared" si="11"/>
        <v xml:space="preserve"> </v>
      </c>
      <c r="K34" s="373" t="str">
        <f t="shared" si="12"/>
        <v xml:space="preserve"> </v>
      </c>
      <c r="L34" s="853" t="str">
        <f t="shared" si="13"/>
        <v xml:space="preserve"> </v>
      </c>
      <c r="M34" s="1452" t="str">
        <f t="shared" si="9"/>
        <v xml:space="preserve"> </v>
      </c>
      <c r="N34" s="1452"/>
      <c r="O34" s="725"/>
      <c r="P34" s="132" t="str">
        <f t="shared" si="14"/>
        <v xml:space="preserve"> </v>
      </c>
      <c r="Q34" s="373" t="str">
        <f t="shared" si="15"/>
        <v xml:space="preserve"> </v>
      </c>
      <c r="R34" s="853" t="str">
        <f t="shared" si="16"/>
        <v xml:space="preserve"> </v>
      </c>
      <c r="S34" s="1452" t="str">
        <f t="shared" si="17"/>
        <v xml:space="preserve"> </v>
      </c>
      <c r="T34" s="1452"/>
      <c r="U34" s="517"/>
      <c r="V34" s="921"/>
      <c r="W34" s="1042"/>
      <c r="X34" s="823" t="str">
        <f>IF(AE29&gt;0,AJ34," ")</f>
        <v xml:space="preserve"> </v>
      </c>
      <c r="Y34" s="823" t="str">
        <f>IF(AE29&gt;0,AK34," ")</f>
        <v xml:space="preserve"> </v>
      </c>
      <c r="Z34" s="823" t="str">
        <f>IF(AE29&gt;0,AL34," ")</f>
        <v xml:space="preserve"> </v>
      </c>
      <c r="AA34" s="799"/>
      <c r="AB34" s="823" t="str">
        <f>IF(AE29&gt;0,AN34," ")</f>
        <v xml:space="preserve"> </v>
      </c>
      <c r="AC34" s="823" t="str">
        <f>IF(AE29&gt;0,AO34," ")</f>
        <v xml:space="preserve"> </v>
      </c>
      <c r="AD34" s="823" t="str">
        <f>IF(AE29&gt;0,AP34," ")</f>
        <v xml:space="preserve"> </v>
      </c>
      <c r="AE34" s="799"/>
      <c r="AF34" s="823" t="str">
        <f>IF(AE29&gt;0,AR34," ")</f>
        <v xml:space="preserve"> </v>
      </c>
      <c r="AG34" s="823" t="str">
        <f>IF(AE29&gt;0,AS34," ")</f>
        <v xml:space="preserve"> </v>
      </c>
      <c r="AH34" s="823" t="str">
        <f>IF(AE29&gt;0,AT34," ")</f>
        <v xml:space="preserve"> </v>
      </c>
      <c r="AI34" s="848"/>
      <c r="AJ34" s="513" t="s">
        <v>13</v>
      </c>
      <c r="AK34" s="799" t="s">
        <v>1041</v>
      </c>
      <c r="AL34" s="799" t="s">
        <v>810</v>
      </c>
      <c r="AM34" s="800" t="s">
        <v>1095</v>
      </c>
      <c r="AN34" s="514" t="s">
        <v>14</v>
      </c>
      <c r="AO34" s="799" t="s">
        <v>1041</v>
      </c>
      <c r="AP34" s="799" t="s">
        <v>810</v>
      </c>
      <c r="AQ34" s="800" t="s">
        <v>1095</v>
      </c>
      <c r="AR34" s="515" t="s">
        <v>15</v>
      </c>
      <c r="AS34" s="799" t="s">
        <v>1041</v>
      </c>
      <c r="AT34" s="799" t="s">
        <v>810</v>
      </c>
      <c r="AU34" s="800" t="s">
        <v>1095</v>
      </c>
    </row>
    <row r="35" spans="1:54" ht="15" customHeight="1" x14ac:dyDescent="0.25">
      <c r="A35" s="835"/>
      <c r="B35" s="831"/>
      <c r="C35" s="725"/>
      <c r="D35" s="132" t="str">
        <f t="shared" si="3"/>
        <v xml:space="preserve"> </v>
      </c>
      <c r="E35" s="373" t="str">
        <f t="shared" si="10"/>
        <v xml:space="preserve"> </v>
      </c>
      <c r="F35" s="853" t="str">
        <f t="shared" si="10"/>
        <v xml:space="preserve"> </v>
      </c>
      <c r="G35" s="1452" t="str">
        <f t="shared" si="8"/>
        <v xml:space="preserve"> </v>
      </c>
      <c r="H35" s="1452"/>
      <c r="I35" s="725"/>
      <c r="J35" s="132" t="str">
        <f t="shared" si="11"/>
        <v xml:space="preserve"> </v>
      </c>
      <c r="K35" s="373" t="str">
        <f t="shared" si="12"/>
        <v xml:space="preserve"> </v>
      </c>
      <c r="L35" s="853" t="str">
        <f t="shared" si="13"/>
        <v xml:space="preserve"> </v>
      </c>
      <c r="M35" s="1452" t="str">
        <f t="shared" si="9"/>
        <v xml:space="preserve"> </v>
      </c>
      <c r="N35" s="1452"/>
      <c r="O35" s="725"/>
      <c r="P35" s="132" t="str">
        <f t="shared" si="14"/>
        <v xml:space="preserve"> </v>
      </c>
      <c r="Q35" s="373" t="str">
        <f t="shared" si="15"/>
        <v xml:space="preserve"> </v>
      </c>
      <c r="R35" s="853" t="str">
        <f t="shared" si="16"/>
        <v xml:space="preserve"> </v>
      </c>
      <c r="S35" s="1452" t="str">
        <f t="shared" si="17"/>
        <v xml:space="preserve"> </v>
      </c>
      <c r="T35" s="1452"/>
      <c r="U35" s="517"/>
      <c r="V35" s="921"/>
      <c r="W35" s="1042"/>
      <c r="X35" s="823" t="str">
        <f>IF(AE29&gt;0,AJ35," ")</f>
        <v xml:space="preserve"> </v>
      </c>
      <c r="Y35" s="823" t="str">
        <f>IF(AE29&gt;0,AK35," ")</f>
        <v xml:space="preserve"> </v>
      </c>
      <c r="Z35" s="823" t="str">
        <f>IF(AE29&gt;0,AL35," ")</f>
        <v xml:space="preserve"> </v>
      </c>
      <c r="AA35" s="517"/>
      <c r="AB35" s="823" t="str">
        <f>IF(AE29&gt;0,AN35," ")</f>
        <v xml:space="preserve"> </v>
      </c>
      <c r="AC35" s="823" t="str">
        <f>IF(AE29&gt;0,AO35," ")</f>
        <v xml:space="preserve"> </v>
      </c>
      <c r="AD35" s="823" t="str">
        <f>IF(AE29&gt;0,AP35," ")</f>
        <v xml:space="preserve"> </v>
      </c>
      <c r="AE35" s="517"/>
      <c r="AF35" s="823" t="str">
        <f>IF(AE29&gt;0,AR35," ")</f>
        <v xml:space="preserve"> </v>
      </c>
      <c r="AG35" s="823" t="str">
        <f>IF(AE29&gt;0,AS35," ")</f>
        <v xml:space="preserve"> </v>
      </c>
      <c r="AH35" s="823" t="str">
        <f>IF(AE29&gt;0,AT35," ")</f>
        <v xml:space="preserve"> </v>
      </c>
      <c r="AI35" s="849"/>
      <c r="AJ35" t="s">
        <v>1023</v>
      </c>
      <c r="AK35" s="329">
        <v>30</v>
      </c>
      <c r="AL35" s="330">
        <v>54</v>
      </c>
      <c r="AM35" s="517">
        <f>AL35*AK35</f>
        <v>1620</v>
      </c>
      <c r="AN35" s="799" t="s">
        <v>1029</v>
      </c>
      <c r="AO35" s="329">
        <v>15</v>
      </c>
      <c r="AP35" s="330">
        <v>43</v>
      </c>
      <c r="AQ35" s="517">
        <f>AP35*AO35</f>
        <v>645</v>
      </c>
      <c r="AR35" s="799" t="s">
        <v>1035</v>
      </c>
      <c r="AS35" s="329">
        <v>30</v>
      </c>
      <c r="AT35" s="330">
        <v>66</v>
      </c>
      <c r="AU35" s="517">
        <f>AT35*AS35</f>
        <v>1980</v>
      </c>
    </row>
    <row r="36" spans="1:54" ht="15" customHeight="1" x14ac:dyDescent="0.25">
      <c r="A36" s="835"/>
      <c r="B36" s="831"/>
      <c r="C36" s="725"/>
      <c r="D36" s="132" t="str">
        <f t="shared" si="3"/>
        <v xml:space="preserve"> </v>
      </c>
      <c r="E36" s="373" t="str">
        <f t="shared" si="10"/>
        <v xml:space="preserve"> </v>
      </c>
      <c r="F36" s="853" t="str">
        <f t="shared" si="10"/>
        <v xml:space="preserve"> </v>
      </c>
      <c r="G36" s="1452" t="str">
        <f t="shared" si="8"/>
        <v xml:space="preserve"> </v>
      </c>
      <c r="H36" s="1452"/>
      <c r="I36" s="725"/>
      <c r="J36" s="132" t="str">
        <f t="shared" si="11"/>
        <v xml:space="preserve"> </v>
      </c>
      <c r="K36" s="373" t="str">
        <f t="shared" si="12"/>
        <v xml:space="preserve"> </v>
      </c>
      <c r="L36" s="853" t="str">
        <f t="shared" si="13"/>
        <v xml:space="preserve"> </v>
      </c>
      <c r="M36" s="1452" t="str">
        <f t="shared" si="9"/>
        <v xml:space="preserve"> </v>
      </c>
      <c r="N36" s="1452"/>
      <c r="O36" s="725"/>
      <c r="P36" s="132" t="str">
        <f t="shared" si="14"/>
        <v xml:space="preserve"> </v>
      </c>
      <c r="Q36" s="373" t="str">
        <f t="shared" si="15"/>
        <v xml:space="preserve"> </v>
      </c>
      <c r="R36" s="853" t="str">
        <f t="shared" si="16"/>
        <v xml:space="preserve"> </v>
      </c>
      <c r="S36" s="1452" t="str">
        <f t="shared" si="17"/>
        <v xml:space="preserve"> </v>
      </c>
      <c r="T36" s="1452"/>
      <c r="U36" s="517"/>
      <c r="V36" s="921"/>
      <c r="W36" s="1042"/>
      <c r="X36" s="823" t="str">
        <f>IF(AE29&gt;0,AJ36," ")</f>
        <v xml:space="preserve"> </v>
      </c>
      <c r="Y36" s="823" t="str">
        <f>IF(AE29&gt;0,AK36," ")</f>
        <v xml:space="preserve"> </v>
      </c>
      <c r="Z36" s="823" t="str">
        <f>IF(AE29&gt;0,AL36," ")</f>
        <v xml:space="preserve"> </v>
      </c>
      <c r="AA36" s="517"/>
      <c r="AB36" s="823" t="str">
        <f>IF(AE29&gt;0,AN36," ")</f>
        <v xml:space="preserve"> </v>
      </c>
      <c r="AC36" s="823" t="str">
        <f>IF(AE29&gt;0,AO36," ")</f>
        <v xml:space="preserve"> </v>
      </c>
      <c r="AD36" s="823" t="str">
        <f>IF(AE29&gt;0,AP36," ")</f>
        <v xml:space="preserve"> </v>
      </c>
      <c r="AE36" s="517"/>
      <c r="AF36" s="823" t="str">
        <f>IF(AE29&gt;0,AR36," ")</f>
        <v xml:space="preserve"> </v>
      </c>
      <c r="AG36" s="823" t="str">
        <f>IF(AE29&gt;0,AS36," ")</f>
        <v xml:space="preserve"> </v>
      </c>
      <c r="AH36" s="823" t="str">
        <f>IF(AE29&gt;0,AT36," ")</f>
        <v xml:space="preserve"> </v>
      </c>
      <c r="AI36" s="849"/>
      <c r="AJ36" s="799" t="s">
        <v>1024</v>
      </c>
      <c r="AK36" s="329">
        <v>30</v>
      </c>
      <c r="AL36" s="349">
        <v>57</v>
      </c>
      <c r="AM36" s="517">
        <f t="shared" ref="AM36:AM40" si="18">AL36*AK36</f>
        <v>1710</v>
      </c>
      <c r="AN36" s="799" t="s">
        <v>1030</v>
      </c>
      <c r="AO36" s="329">
        <v>15</v>
      </c>
      <c r="AP36" s="349">
        <v>47</v>
      </c>
      <c r="AQ36" s="517">
        <f t="shared" ref="AQ36:AQ40" si="19">AP36*AO36</f>
        <v>705</v>
      </c>
      <c r="AR36" s="799" t="s">
        <v>1036</v>
      </c>
      <c r="AS36" s="329">
        <v>30</v>
      </c>
      <c r="AT36" s="349">
        <v>71</v>
      </c>
      <c r="AU36" s="517">
        <f t="shared" ref="AU36:AU40" si="20">AT36*AS36</f>
        <v>2130</v>
      </c>
    </row>
    <row r="37" spans="1:54" ht="15" customHeight="1" x14ac:dyDescent="0.25">
      <c r="A37" s="835"/>
      <c r="B37" s="831"/>
      <c r="C37" s="725"/>
      <c r="D37" s="905" t="str">
        <f t="shared" si="3"/>
        <v xml:space="preserve"> </v>
      </c>
      <c r="E37" s="851" t="str">
        <f>Y41</f>
        <v xml:space="preserve"> </v>
      </c>
      <c r="F37" s="832" t="str">
        <f>Z41</f>
        <v xml:space="preserve"> </v>
      </c>
      <c r="G37" s="1459" t="str">
        <f t="shared" si="8"/>
        <v xml:space="preserve"> </v>
      </c>
      <c r="H37" s="1459"/>
      <c r="I37" s="725"/>
      <c r="J37" s="905" t="str">
        <f t="shared" si="11"/>
        <v xml:space="preserve"> </v>
      </c>
      <c r="K37" s="851" t="str">
        <f>AC41</f>
        <v xml:space="preserve"> </v>
      </c>
      <c r="L37" s="832" t="str">
        <f>AD41</f>
        <v xml:space="preserve"> </v>
      </c>
      <c r="M37" s="1459" t="str">
        <f t="shared" si="9"/>
        <v xml:space="preserve"> </v>
      </c>
      <c r="N37" s="1459"/>
      <c r="O37" s="725"/>
      <c r="P37" s="905" t="str">
        <f t="shared" si="14"/>
        <v xml:space="preserve"> </v>
      </c>
      <c r="Q37" s="851" t="str">
        <f t="shared" si="15"/>
        <v xml:space="preserve"> </v>
      </c>
      <c r="R37" s="832" t="str">
        <f>AH41</f>
        <v xml:space="preserve"> </v>
      </c>
      <c r="S37" s="1459" t="str">
        <f t="shared" si="17"/>
        <v xml:space="preserve"> </v>
      </c>
      <c r="T37" s="1459"/>
      <c r="U37" s="831"/>
      <c r="V37" s="921"/>
      <c r="W37" s="1042"/>
      <c r="X37" s="823" t="str">
        <f>IF(AE29&gt;0,AJ37," ")</f>
        <v xml:space="preserve"> </v>
      </c>
      <c r="Y37" s="823" t="str">
        <f>IF(AE29&gt;0,AK37," ")</f>
        <v xml:space="preserve"> </v>
      </c>
      <c r="Z37" s="823" t="str">
        <f>IF(AE29&gt;0,AL37," ")</f>
        <v xml:space="preserve"> </v>
      </c>
      <c r="AA37" s="517"/>
      <c r="AB37" s="823" t="str">
        <f>IF(AE29&gt;0,AN37," ")</f>
        <v xml:space="preserve"> </v>
      </c>
      <c r="AC37" s="823" t="str">
        <f>IF(AE29&gt;0,AO37," ")</f>
        <v xml:space="preserve"> </v>
      </c>
      <c r="AD37" s="823" t="str">
        <f>IF(AE29&gt;0,AP37," ")</f>
        <v xml:space="preserve"> </v>
      </c>
      <c r="AE37" s="517"/>
      <c r="AF37" s="823" t="str">
        <f>IF(AE29&gt;0,AR37," ")</f>
        <v xml:space="preserve"> </v>
      </c>
      <c r="AG37" s="823" t="str">
        <f>IF(AE29&gt;0,AS37," ")</f>
        <v xml:space="preserve"> </v>
      </c>
      <c r="AH37" s="823" t="str">
        <f>IF(AE29&gt;0,AT37," ")</f>
        <v xml:space="preserve"> </v>
      </c>
      <c r="AI37" s="849"/>
      <c r="AJ37" s="799" t="s">
        <v>1025</v>
      </c>
      <c r="AK37" s="329">
        <v>15</v>
      </c>
      <c r="AL37" s="349">
        <v>63</v>
      </c>
      <c r="AM37" s="517">
        <f t="shared" si="18"/>
        <v>945</v>
      </c>
      <c r="AN37" s="799" t="s">
        <v>1031</v>
      </c>
      <c r="AO37" s="329">
        <v>15</v>
      </c>
      <c r="AP37" s="349">
        <v>50</v>
      </c>
      <c r="AQ37" s="517">
        <f t="shared" si="19"/>
        <v>750</v>
      </c>
      <c r="AR37" s="799" t="s">
        <v>1037</v>
      </c>
      <c r="AS37" s="329">
        <v>15</v>
      </c>
      <c r="AT37" s="349">
        <v>74</v>
      </c>
      <c r="AU37" s="517">
        <f t="shared" si="20"/>
        <v>1110</v>
      </c>
    </row>
    <row r="38" spans="1:54" ht="15" customHeight="1" x14ac:dyDescent="0.25">
      <c r="A38" s="835"/>
      <c r="C38" s="831"/>
      <c r="D38" s="831"/>
      <c r="E38" s="831"/>
      <c r="F38" s="855" t="str">
        <f>AJ53</f>
        <v xml:space="preserve"> </v>
      </c>
      <c r="G38" s="1453" t="str">
        <f>AL54</f>
        <v xml:space="preserve"> </v>
      </c>
      <c r="H38" s="1453"/>
      <c r="I38" s="831"/>
      <c r="J38" s="831"/>
      <c r="K38" s="831"/>
      <c r="L38" s="855" t="str">
        <f>AN53</f>
        <v xml:space="preserve"> </v>
      </c>
      <c r="M38" s="1453" t="str">
        <f>AP54</f>
        <v xml:space="preserve"> </v>
      </c>
      <c r="N38" s="1453"/>
      <c r="O38" s="831"/>
      <c r="P38" s="831"/>
      <c r="Q38" s="831"/>
      <c r="R38" s="855" t="str">
        <f>AR53</f>
        <v xml:space="preserve"> </v>
      </c>
      <c r="S38" s="1453" t="str">
        <f>AT54</f>
        <v xml:space="preserve"> </v>
      </c>
      <c r="T38" s="1453"/>
      <c r="U38" s="725"/>
      <c r="V38" s="921"/>
      <c r="W38" s="1042"/>
      <c r="X38" s="823" t="str">
        <f>IF(AE29&gt;0,AJ38," ")</f>
        <v xml:space="preserve"> </v>
      </c>
      <c r="Y38" s="823" t="str">
        <f>IF(AE29&gt;0,AK38," ")</f>
        <v xml:space="preserve"> </v>
      </c>
      <c r="Z38" s="823" t="str">
        <f>IF(AE29&gt;0,AL38," ")</f>
        <v xml:space="preserve"> </v>
      </c>
      <c r="AA38" s="517"/>
      <c r="AB38" s="823" t="str">
        <f>IF(AE29&gt;0,AN38," ")</f>
        <v xml:space="preserve"> </v>
      </c>
      <c r="AC38" s="823" t="str">
        <f>IF(AE29&gt;0,AO38," ")</f>
        <v xml:space="preserve"> </v>
      </c>
      <c r="AD38" s="823" t="str">
        <f>IF(AE29&gt;0,AP38," ")</f>
        <v xml:space="preserve"> </v>
      </c>
      <c r="AE38" s="517"/>
      <c r="AF38" s="823" t="str">
        <f>IF(AE29&gt;0,AR38," ")</f>
        <v xml:space="preserve"> </v>
      </c>
      <c r="AG38" s="823" t="str">
        <f>IF(AE29&gt;0,AS38," ")</f>
        <v xml:space="preserve"> </v>
      </c>
      <c r="AH38" s="823" t="str">
        <f>IF(AE29&gt;0,AT38," ")</f>
        <v xml:space="preserve"> </v>
      </c>
      <c r="AI38" s="849"/>
      <c r="AJ38" s="799" t="s">
        <v>1026</v>
      </c>
      <c r="AK38" s="329">
        <v>15</v>
      </c>
      <c r="AL38" s="349">
        <v>65</v>
      </c>
      <c r="AM38" s="517">
        <f t="shared" si="18"/>
        <v>975</v>
      </c>
      <c r="AN38" s="799" t="s">
        <v>1032</v>
      </c>
      <c r="AO38" s="329">
        <v>15</v>
      </c>
      <c r="AP38" s="349">
        <v>56</v>
      </c>
      <c r="AQ38" s="517">
        <f t="shared" si="19"/>
        <v>840</v>
      </c>
      <c r="AR38" s="799" t="s">
        <v>1038</v>
      </c>
      <c r="AS38" s="329">
        <v>15</v>
      </c>
      <c r="AT38" s="349">
        <v>75</v>
      </c>
      <c r="AU38" s="517">
        <f t="shared" si="20"/>
        <v>1125</v>
      </c>
    </row>
    <row r="39" spans="1:54" ht="15" customHeight="1" x14ac:dyDescent="0.25">
      <c r="A39" s="835"/>
      <c r="C39" s="1421" t="str">
        <f>X44</f>
        <v xml:space="preserve"> </v>
      </c>
      <c r="D39" s="1421"/>
      <c r="E39" s="1421"/>
      <c r="F39" s="1421"/>
      <c r="G39" s="1421"/>
      <c r="H39" s="1421"/>
      <c r="I39" s="1421"/>
      <c r="J39" s="1421"/>
      <c r="K39" s="1421"/>
      <c r="L39" s="1421"/>
      <c r="M39" s="1421"/>
      <c r="N39" s="1421"/>
      <c r="O39" s="1421"/>
      <c r="P39" s="1421"/>
      <c r="Q39" s="1421"/>
      <c r="R39" s="1421"/>
      <c r="S39" s="1421"/>
      <c r="T39" s="1421"/>
      <c r="U39" s="725"/>
      <c r="V39" s="921"/>
      <c r="W39" s="1042"/>
      <c r="X39" s="823" t="str">
        <f>IF(AE29&gt;0,AJ39," ")</f>
        <v xml:space="preserve"> </v>
      </c>
      <c r="Y39" s="823" t="str">
        <f>IF(AE29&gt;0,AK39," ")</f>
        <v xml:space="preserve"> </v>
      </c>
      <c r="Z39" s="823" t="str">
        <f>IF(AE29&gt;0,AL39," ")</f>
        <v xml:space="preserve"> </v>
      </c>
      <c r="AA39" s="517"/>
      <c r="AB39" s="823" t="str">
        <f>IF(AE29&gt;0,AN39," ")</f>
        <v xml:space="preserve"> </v>
      </c>
      <c r="AC39" s="823" t="str">
        <f>IF(AE29&gt;0,AO39," ")</f>
        <v xml:space="preserve"> </v>
      </c>
      <c r="AD39" s="823" t="str">
        <f>IF(AE29&gt;0,AP39," ")</f>
        <v xml:space="preserve"> </v>
      </c>
      <c r="AE39" s="517"/>
      <c r="AF39" s="823" t="str">
        <f>IF(AE29&gt;0,AR39," ")</f>
        <v xml:space="preserve"> </v>
      </c>
      <c r="AG39" s="823" t="str">
        <f>IF(AE29&gt;0,AS39," ")</f>
        <v xml:space="preserve"> </v>
      </c>
      <c r="AH39" s="823" t="str">
        <f>IF(AE29&gt;0,AT39," ")</f>
        <v xml:space="preserve"> </v>
      </c>
      <c r="AI39" s="849"/>
      <c r="AJ39" s="799" t="s">
        <v>1027</v>
      </c>
      <c r="AK39" s="329">
        <v>15</v>
      </c>
      <c r="AL39" s="349">
        <v>72</v>
      </c>
      <c r="AM39" s="517">
        <f t="shared" si="18"/>
        <v>1080</v>
      </c>
      <c r="AN39" s="799" t="s">
        <v>1033</v>
      </c>
      <c r="AO39" s="329">
        <v>30</v>
      </c>
      <c r="AP39" s="349">
        <v>60</v>
      </c>
      <c r="AQ39" s="517">
        <f t="shared" si="19"/>
        <v>1800</v>
      </c>
      <c r="AR39" s="799" t="s">
        <v>1039</v>
      </c>
      <c r="AS39" s="329">
        <v>15</v>
      </c>
      <c r="AT39" s="349">
        <v>75</v>
      </c>
      <c r="AU39" s="517">
        <f t="shared" si="20"/>
        <v>1125</v>
      </c>
    </row>
    <row r="40" spans="1:54" ht="15" customHeight="1" x14ac:dyDescent="0.25">
      <c r="A40" s="835"/>
      <c r="C40" s="1421"/>
      <c r="D40" s="1421"/>
      <c r="E40" s="1421"/>
      <c r="F40" s="1421"/>
      <c r="G40" s="1421"/>
      <c r="H40" s="1421"/>
      <c r="I40" s="1421"/>
      <c r="J40" s="1421"/>
      <c r="K40" s="1421"/>
      <c r="L40" s="1421"/>
      <c r="M40" s="1421"/>
      <c r="N40" s="1421"/>
      <c r="O40" s="1421"/>
      <c r="P40" s="1421"/>
      <c r="Q40" s="1421"/>
      <c r="R40" s="1421"/>
      <c r="S40" s="1421"/>
      <c r="T40" s="1421"/>
      <c r="U40" s="725"/>
      <c r="V40" s="921"/>
      <c r="W40" s="1042"/>
      <c r="X40" s="823" t="str">
        <f>IF(AE29&gt;0,AJ40," ")</f>
        <v xml:space="preserve"> </v>
      </c>
      <c r="Y40" s="823" t="str">
        <f>IF(AE29&gt;0,AK40," ")</f>
        <v xml:space="preserve"> </v>
      </c>
      <c r="Z40" s="823" t="str">
        <f>IF(AE29&gt;0,AL40," ")</f>
        <v xml:space="preserve"> </v>
      </c>
      <c r="AA40" s="517"/>
      <c r="AB40" s="823" t="str">
        <f>IF(AE29&gt;0,AN40," ")</f>
        <v xml:space="preserve"> </v>
      </c>
      <c r="AC40" s="823" t="str">
        <f>IF(AE29&gt;0,AO40," ")</f>
        <v xml:space="preserve"> </v>
      </c>
      <c r="AD40" s="823" t="str">
        <f>IF(AE29&gt;0,AP40," ")</f>
        <v xml:space="preserve"> </v>
      </c>
      <c r="AE40" s="517"/>
      <c r="AF40" s="823" t="str">
        <f>IF(AE29&gt;0,AR40," ")</f>
        <v xml:space="preserve"> </v>
      </c>
      <c r="AG40" s="823" t="str">
        <f>IF(AE29&gt;0,AS40," ")</f>
        <v xml:space="preserve"> </v>
      </c>
      <c r="AH40" s="823" t="str">
        <f>IF(AE29&gt;0,AT40," ")</f>
        <v xml:space="preserve"> </v>
      </c>
      <c r="AI40" s="849"/>
      <c r="AJ40" s="799" t="s">
        <v>1028</v>
      </c>
      <c r="AK40" s="329">
        <v>15</v>
      </c>
      <c r="AL40" s="349">
        <v>80</v>
      </c>
      <c r="AM40" s="517">
        <f t="shared" si="18"/>
        <v>1200</v>
      </c>
      <c r="AN40" s="799" t="s">
        <v>1034</v>
      </c>
      <c r="AO40" s="329">
        <v>30</v>
      </c>
      <c r="AP40" s="349">
        <v>60</v>
      </c>
      <c r="AQ40" s="517">
        <f t="shared" si="19"/>
        <v>1800</v>
      </c>
      <c r="AR40" s="799" t="s">
        <v>1040</v>
      </c>
      <c r="AS40" s="329">
        <v>15</v>
      </c>
      <c r="AT40" s="349">
        <v>81</v>
      </c>
      <c r="AU40" s="517">
        <f t="shared" si="20"/>
        <v>1215</v>
      </c>
    </row>
    <row r="41" spans="1:54" ht="15" customHeight="1" x14ac:dyDescent="0.25">
      <c r="A41" s="835"/>
      <c r="C41" s="1421"/>
      <c r="D41" s="1421"/>
      <c r="E41" s="1421"/>
      <c r="F41" s="1421"/>
      <c r="G41" s="1421"/>
      <c r="H41" s="1421"/>
      <c r="I41" s="1421"/>
      <c r="J41" s="1421"/>
      <c r="K41" s="1421"/>
      <c r="L41" s="1421"/>
      <c r="M41" s="1421"/>
      <c r="N41" s="1421"/>
      <c r="O41" s="1421"/>
      <c r="P41" s="1421"/>
      <c r="Q41" s="1421"/>
      <c r="R41" s="1421"/>
      <c r="S41" s="1421"/>
      <c r="T41" s="1421"/>
      <c r="U41" s="725"/>
      <c r="V41" s="921"/>
      <c r="W41" s="1042"/>
      <c r="X41" s="823" t="str">
        <f>IF($AE$29&gt;0,AJ41," ")</f>
        <v xml:space="preserve"> </v>
      </c>
      <c r="Y41" s="823" t="str">
        <f>IF($AE$29&gt;0,AK41," ")</f>
        <v xml:space="preserve"> </v>
      </c>
      <c r="Z41" s="823" t="str">
        <f>IF($AE$29&gt;0,AL41," ")</f>
        <v xml:space="preserve"> </v>
      </c>
      <c r="AA41" s="799"/>
      <c r="AB41" s="823" t="str">
        <f>IF($AE$29&gt;0,AN41," ")</f>
        <v xml:space="preserve"> </v>
      </c>
      <c r="AC41" s="823" t="str">
        <f>IF($AE$29&gt;0,AO41," ")</f>
        <v xml:space="preserve"> </v>
      </c>
      <c r="AD41" s="823" t="str">
        <f>IF($AE$29&gt;0,AP41," ")</f>
        <v xml:space="preserve"> </v>
      </c>
      <c r="AF41" s="823" t="str">
        <f>IF($AE$29&gt;0,AR41," ")</f>
        <v xml:space="preserve"> </v>
      </c>
      <c r="AG41" s="823" t="str">
        <f>IF($AE$29&gt;0,AS41," ")</f>
        <v xml:space="preserve"> </v>
      </c>
      <c r="AH41" s="823" t="str">
        <f>IF($AE$29&gt;0,AT41," ")</f>
        <v xml:space="preserve"> </v>
      </c>
      <c r="AJ41" s="799" t="s">
        <v>515</v>
      </c>
      <c r="AK41">
        <f>SUM(AK35:AK40)</f>
        <v>120</v>
      </c>
      <c r="AL41" s="800" t="s">
        <v>1083</v>
      </c>
      <c r="AM41" s="517">
        <f>SUM(AM35:AM40)</f>
        <v>7530</v>
      </c>
      <c r="AN41" s="799" t="s">
        <v>515</v>
      </c>
      <c r="AO41" s="799">
        <f>SUM(AO35:AO40)</f>
        <v>120</v>
      </c>
      <c r="AP41" s="800" t="s">
        <v>1083</v>
      </c>
      <c r="AQ41" s="517">
        <f>SUM(AQ35:AQ40)</f>
        <v>6540</v>
      </c>
      <c r="AR41" s="799" t="s">
        <v>515</v>
      </c>
      <c r="AS41" s="799">
        <f>SUM(AS35:AS40)</f>
        <v>120</v>
      </c>
      <c r="AT41" s="800" t="s">
        <v>1083</v>
      </c>
      <c r="AU41" s="517">
        <f>SUM(AU35:AU40)</f>
        <v>8685</v>
      </c>
    </row>
    <row r="42" spans="1:54" ht="15" customHeight="1" x14ac:dyDescent="0.25">
      <c r="A42" s="835"/>
      <c r="C42" s="1438" t="str">
        <f>X46</f>
        <v xml:space="preserve"> </v>
      </c>
      <c r="D42" s="1438"/>
      <c r="E42" s="1438"/>
      <c r="F42" s="1438"/>
      <c r="G42" s="1438"/>
      <c r="H42" s="1438"/>
      <c r="I42" s="1438"/>
      <c r="J42" s="1438"/>
      <c r="K42" s="1438"/>
      <c r="L42" s="1438"/>
      <c r="M42" s="1438"/>
      <c r="N42" s="1438"/>
      <c r="O42" s="1438"/>
      <c r="P42" s="1438"/>
      <c r="Q42" s="1438"/>
      <c r="R42" s="1438"/>
      <c r="S42" s="857" t="str">
        <f>X47</f>
        <v xml:space="preserve"> </v>
      </c>
      <c r="T42" s="856"/>
      <c r="U42" s="725"/>
      <c r="V42" s="921"/>
      <c r="W42" s="1042"/>
      <c r="Z42" s="799"/>
      <c r="AA42" s="799"/>
      <c r="AL42" s="821" t="s">
        <v>1046</v>
      </c>
      <c r="AM42" s="898">
        <f>AM41/AK41</f>
        <v>62.75</v>
      </c>
      <c r="AN42" s="898"/>
      <c r="AP42" s="821" t="str">
        <f>AL42</f>
        <v>÷ 120  =</v>
      </c>
      <c r="AQ42" s="517">
        <f>AQ41/AO41</f>
        <v>54.5</v>
      </c>
      <c r="AT42" s="821" t="str">
        <f>AP42</f>
        <v>÷ 120  =</v>
      </c>
      <c r="AU42" s="517">
        <v>72.37</v>
      </c>
      <c r="AW42">
        <f>SUM(AM35:AM40,,AQ35:AQ40,AU35:AU40)</f>
        <v>22755</v>
      </c>
      <c r="AX42" s="836">
        <f>AW42/360</f>
        <v>63.208333333333336</v>
      </c>
      <c r="AY42">
        <f>ROUND(AQ42,2)</f>
        <v>54.5</v>
      </c>
      <c r="AZ42" s="800">
        <f>ROUND(AU42,2)</f>
        <v>72.37</v>
      </c>
      <c r="BA42">
        <f>AZ42+AY42</f>
        <v>126.87</v>
      </c>
      <c r="BB42">
        <f>BA42/2</f>
        <v>63.435000000000002</v>
      </c>
    </row>
    <row r="43" spans="1:54" ht="15" customHeight="1" x14ac:dyDescent="0.25">
      <c r="A43" s="835"/>
      <c r="C43" s="1438"/>
      <c r="D43" s="1438"/>
      <c r="E43" s="1438"/>
      <c r="F43" s="1438"/>
      <c r="G43" s="1438"/>
      <c r="H43" s="1438"/>
      <c r="I43" s="1438"/>
      <c r="J43" s="1438"/>
      <c r="K43" s="1438"/>
      <c r="L43" s="1438"/>
      <c r="M43" s="1438"/>
      <c r="N43" s="1438"/>
      <c r="O43" s="1438"/>
      <c r="P43" s="1438"/>
      <c r="Q43" s="1438"/>
      <c r="R43" s="1438"/>
      <c r="S43" s="1454"/>
      <c r="T43" s="1455"/>
      <c r="U43" s="725"/>
      <c r="V43" s="921"/>
      <c r="W43" s="1042"/>
      <c r="Z43" s="799"/>
      <c r="AA43" s="799"/>
      <c r="AN43" s="836">
        <f>AVERAGE(AM42,AQ42)</f>
        <v>58.625</v>
      </c>
      <c r="AU43">
        <f>AVERAGE(AM42,AQ42,AU42)</f>
        <v>63.206666666666671</v>
      </c>
    </row>
    <row r="44" spans="1:54" ht="15" customHeight="1" thickBot="1" x14ac:dyDescent="0.3">
      <c r="A44" s="835"/>
      <c r="C44" s="906" t="str">
        <f>X48</f>
        <v xml:space="preserve"> </v>
      </c>
      <c r="D44" s="903"/>
      <c r="E44" s="903"/>
      <c r="F44" s="903"/>
      <c r="G44" s="903"/>
      <c r="H44" s="903"/>
      <c r="I44" s="903"/>
      <c r="J44" s="903"/>
      <c r="K44" s="903"/>
      <c r="L44" s="903"/>
      <c r="M44" s="903"/>
      <c r="N44" s="903"/>
      <c r="O44" s="903"/>
      <c r="P44" s="903"/>
      <c r="Q44" s="903"/>
      <c r="R44" s="902"/>
      <c r="S44" s="902"/>
      <c r="T44" s="902"/>
      <c r="U44" s="725"/>
      <c r="V44" s="921"/>
      <c r="W44" s="1042"/>
      <c r="X44" s="823" t="str">
        <f>IF($AE$29&gt;0,AD44," ")</f>
        <v xml:space="preserve"> </v>
      </c>
      <c r="Z44" s="799"/>
      <c r="AA44" s="799"/>
      <c r="AD44" s="770" t="s">
        <v>1121</v>
      </c>
    </row>
    <row r="45" spans="1:54" ht="15" customHeight="1" thickTop="1" x14ac:dyDescent="0.25">
      <c r="A45" s="835"/>
      <c r="C45" s="1434" t="str">
        <f>X51</f>
        <v xml:space="preserve"> </v>
      </c>
      <c r="D45" s="1434"/>
      <c r="E45" s="1434"/>
      <c r="F45" s="1434"/>
      <c r="G45" s="1434"/>
      <c r="H45" s="1434"/>
      <c r="I45" s="1434"/>
      <c r="J45" s="1434"/>
      <c r="K45" s="1434"/>
      <c r="L45" s="1434"/>
      <c r="M45" s="1434"/>
      <c r="N45" s="1434"/>
      <c r="O45" s="1434"/>
      <c r="P45" s="1434"/>
      <c r="Q45" s="1434"/>
      <c r="R45" s="1434"/>
      <c r="S45" s="1434"/>
      <c r="T45" s="1434"/>
      <c r="U45" s="725"/>
      <c r="V45" s="921"/>
      <c r="W45" s="1042"/>
      <c r="Z45" s="799"/>
      <c r="AA45" s="799"/>
      <c r="AL45" s="835" t="str">
        <f>IF($X$21=1,AM45," ")</f>
        <v xml:space="preserve"> </v>
      </c>
      <c r="AM45" s="800" t="str">
        <f>IF($S$28="x",AM34," ")</f>
        <v xml:space="preserve"> </v>
      </c>
      <c r="AP45" s="835" t="str">
        <f>IF($X$21=1,AQ45," ")</f>
        <v xml:space="preserve"> </v>
      </c>
      <c r="AQ45" s="800" t="str">
        <f t="shared" ref="AQ45:AQ52" si="21">IF($S$28="x",AQ34," ")</f>
        <v xml:space="preserve"> </v>
      </c>
      <c r="AT45" s="835" t="str">
        <f>IF($X$21=1,AU45," ")</f>
        <v xml:space="preserve"> </v>
      </c>
      <c r="AU45" s="800" t="str">
        <f t="shared" ref="AU45:AU52" si="22">IF($S$28="x",AU34," ")</f>
        <v xml:space="preserve"> </v>
      </c>
    </row>
    <row r="46" spans="1:54" ht="15" customHeight="1" x14ac:dyDescent="0.25">
      <c r="A46" s="835"/>
      <c r="C46" s="1435"/>
      <c r="D46" s="1435"/>
      <c r="E46" s="1435"/>
      <c r="F46" s="1435"/>
      <c r="G46" s="1435"/>
      <c r="H46" s="1435"/>
      <c r="I46" s="1435"/>
      <c r="J46" s="1435"/>
      <c r="K46" s="1435"/>
      <c r="L46" s="1435"/>
      <c r="M46" s="1435"/>
      <c r="N46" s="1435"/>
      <c r="O46" s="1435"/>
      <c r="P46" s="1435"/>
      <c r="Q46" s="1435"/>
      <c r="R46" s="1435"/>
      <c r="S46" s="1435"/>
      <c r="T46" s="1435"/>
      <c r="U46" s="725"/>
      <c r="V46" s="921"/>
      <c r="W46" s="1042"/>
      <c r="X46" s="822" t="str">
        <f>IF($S$28="x",AA46," ")</f>
        <v xml:space="preserve"> </v>
      </c>
      <c r="Z46" s="799"/>
      <c r="AA46" s="770" t="s">
        <v>1074</v>
      </c>
      <c r="AL46" s="835" t="str">
        <f>IF($X$21=1,AM46," ")</f>
        <v xml:space="preserve"> </v>
      </c>
      <c r="AM46" t="str">
        <f>IF($S$28="x",AM35," ")</f>
        <v xml:space="preserve"> </v>
      </c>
      <c r="AP46" s="835" t="str">
        <f>IF($X$21=1,AQ46," ")</f>
        <v xml:space="preserve"> </v>
      </c>
      <c r="AQ46" s="799" t="str">
        <f t="shared" si="21"/>
        <v xml:space="preserve"> </v>
      </c>
      <c r="AT46" s="835" t="str">
        <f>IF($X$21=1,AU46," ")</f>
        <v xml:space="preserve"> </v>
      </c>
      <c r="AU46" s="799" t="str">
        <f t="shared" si="22"/>
        <v xml:space="preserve"> </v>
      </c>
    </row>
    <row r="47" spans="1:54" ht="15" customHeight="1" x14ac:dyDescent="0.25">
      <c r="A47" s="835"/>
      <c r="C47" s="1437" t="str">
        <f>X52</f>
        <v xml:space="preserve"> </v>
      </c>
      <c r="D47" s="1437"/>
      <c r="E47" s="1437"/>
      <c r="F47" s="1437"/>
      <c r="G47" s="1437"/>
      <c r="H47" s="1437"/>
      <c r="I47" s="1437"/>
      <c r="J47" s="1437"/>
      <c r="K47" s="1437"/>
      <c r="L47" s="1437"/>
      <c r="M47" s="1437"/>
      <c r="N47" s="1437"/>
      <c r="O47" s="1437"/>
      <c r="P47" s="1437"/>
      <c r="Q47" s="1437"/>
      <c r="R47" s="1437"/>
      <c r="S47" s="1437"/>
      <c r="T47" s="1437"/>
      <c r="U47" s="725"/>
      <c r="V47" s="921"/>
      <c r="W47" s="1042"/>
      <c r="X47" s="822" t="str">
        <f>IF($S$28="x",AA47," ")</f>
        <v xml:space="preserve"> </v>
      </c>
      <c r="Z47" s="799"/>
      <c r="AA47" s="770" t="s">
        <v>1047</v>
      </c>
      <c r="AL47" s="835" t="str">
        <f t="shared" ref="AL47:AL52" si="23">IF($X$21=1,AM47," ")</f>
        <v xml:space="preserve"> </v>
      </c>
      <c r="AM47" s="799" t="str">
        <f t="shared" ref="AM47:AM52" si="24">IF($S$28="x",AM36," ")</f>
        <v xml:space="preserve"> </v>
      </c>
      <c r="AP47" s="835" t="str">
        <f t="shared" ref="AP47:AP52" si="25">IF($X$21=1,AQ47," ")</f>
        <v xml:space="preserve"> </v>
      </c>
      <c r="AQ47" s="799" t="str">
        <f t="shared" si="21"/>
        <v xml:space="preserve"> </v>
      </c>
      <c r="AT47" s="835" t="str">
        <f t="shared" ref="AT47:AT52" si="26">IF($X$21=1,AU47," ")</f>
        <v xml:space="preserve"> </v>
      </c>
      <c r="AU47" s="799" t="str">
        <f t="shared" si="22"/>
        <v xml:space="preserve"> </v>
      </c>
    </row>
    <row r="48" spans="1:54" ht="15" customHeight="1" x14ac:dyDescent="0.25">
      <c r="A48" s="835"/>
      <c r="C48" s="1437"/>
      <c r="D48" s="1437"/>
      <c r="E48" s="1437"/>
      <c r="F48" s="1437"/>
      <c r="G48" s="1437"/>
      <c r="H48" s="1437"/>
      <c r="I48" s="1437"/>
      <c r="J48" s="1437"/>
      <c r="K48" s="1437"/>
      <c r="L48" s="1437"/>
      <c r="M48" s="1437"/>
      <c r="N48" s="1437"/>
      <c r="O48" s="1437"/>
      <c r="P48" s="1437"/>
      <c r="Q48" s="1437"/>
      <c r="R48" s="1437"/>
      <c r="S48" s="1437"/>
      <c r="T48" s="1437"/>
      <c r="U48" s="725"/>
      <c r="V48" s="921"/>
      <c r="W48" s="1042"/>
      <c r="X48" s="822" t="str">
        <f>IF($S$28="x",AC48," ")</f>
        <v xml:space="preserve"> </v>
      </c>
      <c r="Z48" s="799"/>
      <c r="AA48" s="799"/>
      <c r="AC48" s="799" t="str">
        <f>IF(AF50&gt;0,AE48," ")</f>
        <v xml:space="preserve"> </v>
      </c>
      <c r="AE48" t="str">
        <f>IF(AG50=1,AH48,AH49)</f>
        <v xml:space="preserve">Incorrect - (62.75 + 54.50 +72.38) ÷ 3 = 63.21, their National Degree Grade is B2 </v>
      </c>
      <c r="AG48" s="5">
        <f>IF(S43="63.21",1,0)</f>
        <v>0</v>
      </c>
      <c r="AH48" s="799" t="s">
        <v>1049</v>
      </c>
      <c r="AL48" s="835" t="str">
        <f t="shared" si="23"/>
        <v xml:space="preserve"> </v>
      </c>
      <c r="AM48" s="799" t="str">
        <f t="shared" si="24"/>
        <v xml:space="preserve"> </v>
      </c>
      <c r="AP48" s="835" t="str">
        <f t="shared" si="25"/>
        <v xml:space="preserve"> </v>
      </c>
      <c r="AQ48" s="799" t="str">
        <f t="shared" si="21"/>
        <v xml:space="preserve"> </v>
      </c>
      <c r="AT48" s="835" t="str">
        <f t="shared" si="26"/>
        <v xml:space="preserve"> </v>
      </c>
      <c r="AU48" s="799" t="str">
        <f t="shared" si="22"/>
        <v xml:space="preserve"> </v>
      </c>
    </row>
    <row r="49" spans="1:51" ht="15" customHeight="1" x14ac:dyDescent="0.25">
      <c r="A49" s="835"/>
      <c r="C49" s="1437"/>
      <c r="D49" s="1437"/>
      <c r="E49" s="1437"/>
      <c r="F49" s="1437"/>
      <c r="G49" s="1437"/>
      <c r="H49" s="1437"/>
      <c r="I49" s="1437"/>
      <c r="J49" s="1437"/>
      <c r="K49" s="1437"/>
      <c r="L49" s="1437"/>
      <c r="M49" s="1437"/>
      <c r="N49" s="1437"/>
      <c r="O49" s="1437"/>
      <c r="P49" s="1437"/>
      <c r="Q49" s="1437"/>
      <c r="R49" s="1437"/>
      <c r="S49" s="1437"/>
      <c r="T49" s="1437"/>
      <c r="U49" s="725"/>
      <c r="V49" s="921"/>
      <c r="W49" s="1042"/>
      <c r="Z49" s="799"/>
      <c r="AA49" s="799"/>
      <c r="AG49" s="5">
        <f>IF(S43="63.21%",1,0)</f>
        <v>0</v>
      </c>
      <c r="AH49" s="799" t="s">
        <v>1048</v>
      </c>
      <c r="AL49" s="835" t="str">
        <f t="shared" si="23"/>
        <v xml:space="preserve"> </v>
      </c>
      <c r="AM49" s="799" t="str">
        <f t="shared" si="24"/>
        <v xml:space="preserve"> </v>
      </c>
      <c r="AP49" s="835" t="str">
        <f t="shared" si="25"/>
        <v xml:space="preserve"> </v>
      </c>
      <c r="AQ49" s="799" t="str">
        <f t="shared" si="21"/>
        <v xml:space="preserve"> </v>
      </c>
      <c r="AT49" s="835" t="str">
        <f t="shared" si="26"/>
        <v xml:space="preserve"> </v>
      </c>
      <c r="AU49" s="799" t="str">
        <f t="shared" si="22"/>
        <v xml:space="preserve"> </v>
      </c>
    </row>
    <row r="50" spans="1:51" ht="6" customHeight="1" x14ac:dyDescent="0.25">
      <c r="A50" s="835"/>
      <c r="C50" s="904"/>
      <c r="D50" s="904"/>
      <c r="E50" s="904"/>
      <c r="F50" s="904"/>
      <c r="G50" s="904"/>
      <c r="H50" s="904"/>
      <c r="I50" s="904"/>
      <c r="J50" s="904"/>
      <c r="K50" s="904"/>
      <c r="L50" s="904"/>
      <c r="M50" s="904"/>
      <c r="N50" s="904"/>
      <c r="O50" s="904"/>
      <c r="P50" s="904"/>
      <c r="Q50" s="904"/>
      <c r="R50" s="904"/>
      <c r="S50" s="904"/>
      <c r="T50" s="904"/>
      <c r="U50" s="725"/>
      <c r="V50" s="921"/>
      <c r="W50" s="1042"/>
      <c r="X50" s="837">
        <f>IF(AF50&gt;0,1,0)</f>
        <v>0</v>
      </c>
      <c r="Z50" s="799"/>
      <c r="AA50" s="102" t="s">
        <v>956</v>
      </c>
      <c r="AF50" s="3">
        <f>LEN(S43)</f>
        <v>0</v>
      </c>
      <c r="AG50" s="858">
        <f>SUM(AG48:AG49)</f>
        <v>0</v>
      </c>
      <c r="AL50" s="835" t="str">
        <f t="shared" si="23"/>
        <v xml:space="preserve"> </v>
      </c>
      <c r="AM50" s="799" t="str">
        <f t="shared" si="24"/>
        <v xml:space="preserve"> </v>
      </c>
      <c r="AP50" s="835" t="str">
        <f t="shared" si="25"/>
        <v xml:space="preserve"> </v>
      </c>
      <c r="AQ50" s="799" t="str">
        <f t="shared" si="21"/>
        <v xml:space="preserve"> </v>
      </c>
      <c r="AT50" s="835" t="str">
        <f t="shared" si="26"/>
        <v xml:space="preserve"> </v>
      </c>
      <c r="AU50" s="799" t="str">
        <f t="shared" si="22"/>
        <v xml:space="preserve"> </v>
      </c>
    </row>
    <row r="51" spans="1:51" ht="15" customHeight="1" x14ac:dyDescent="0.25">
      <c r="A51" s="835"/>
      <c r="C51" s="725"/>
      <c r="D51" s="939" t="str">
        <f>AA56</f>
        <v xml:space="preserve"> </v>
      </c>
      <c r="E51" s="725"/>
      <c r="F51" s="725"/>
      <c r="G51" s="725"/>
      <c r="H51" s="725"/>
      <c r="I51" s="725"/>
      <c r="J51" s="725"/>
      <c r="K51" s="725"/>
      <c r="L51" s="725"/>
      <c r="M51" s="939" t="str">
        <f>AG56</f>
        <v xml:space="preserve"> </v>
      </c>
      <c r="N51" s="725"/>
      <c r="O51" s="725"/>
      <c r="P51" s="725"/>
      <c r="Q51" s="725"/>
      <c r="R51" s="725"/>
      <c r="S51" s="1421"/>
      <c r="T51" s="1421"/>
      <c r="U51" s="1421"/>
      <c r="V51" s="921"/>
      <c r="W51" s="1042"/>
      <c r="X51" s="799" t="str">
        <f>IF(Z51=4,AA50," ")</f>
        <v xml:space="preserve"> </v>
      </c>
      <c r="Z51" s="995">
        <f>X21+X29+X32+X50</f>
        <v>0</v>
      </c>
      <c r="AA51" s="770" t="s">
        <v>1150</v>
      </c>
      <c r="AL51" s="835" t="str">
        <f t="shared" si="23"/>
        <v xml:space="preserve"> </v>
      </c>
      <c r="AM51" s="799" t="str">
        <f t="shared" si="24"/>
        <v xml:space="preserve"> </v>
      </c>
      <c r="AP51" s="835" t="str">
        <f t="shared" si="25"/>
        <v xml:space="preserve"> </v>
      </c>
      <c r="AQ51" s="799" t="str">
        <f t="shared" si="21"/>
        <v xml:space="preserve"> </v>
      </c>
      <c r="AT51" s="835" t="str">
        <f t="shared" si="26"/>
        <v xml:space="preserve"> </v>
      </c>
      <c r="AU51" s="799" t="str">
        <f t="shared" si="22"/>
        <v xml:space="preserve"> </v>
      </c>
    </row>
    <row r="52" spans="1:51" ht="15" customHeight="1" x14ac:dyDescent="0.25">
      <c r="A52" s="835"/>
      <c r="C52" s="725"/>
      <c r="D52" s="725" t="str">
        <f>AA57</f>
        <v xml:space="preserve"> </v>
      </c>
      <c r="E52" s="725"/>
      <c r="F52" s="725"/>
      <c r="G52" s="725"/>
      <c r="H52" s="1458" t="str">
        <f>AE57</f>
        <v xml:space="preserve"> </v>
      </c>
      <c r="I52" s="1458"/>
      <c r="J52" s="897" t="str">
        <f>Y55</f>
        <v xml:space="preserve"> </v>
      </c>
      <c r="K52" s="725"/>
      <c r="L52" s="725"/>
      <c r="M52" s="725" t="str">
        <f>AG57</f>
        <v xml:space="preserve"> </v>
      </c>
      <c r="N52" s="725"/>
      <c r="O52" s="725"/>
      <c r="P52" s="725"/>
      <c r="Q52" s="1457" t="str">
        <f>AI57</f>
        <v xml:space="preserve"> </v>
      </c>
      <c r="R52" s="1457"/>
      <c r="S52" s="1421"/>
      <c r="T52" s="1421"/>
      <c r="U52" s="1421"/>
      <c r="V52" s="921"/>
      <c r="W52" s="1042"/>
      <c r="X52" t="str">
        <f>IF(Z51=4,AA51," ")</f>
        <v xml:space="preserve"> </v>
      </c>
      <c r="Z52" s="799"/>
      <c r="AA52" s="799"/>
      <c r="AL52" s="835" t="str">
        <f t="shared" si="23"/>
        <v xml:space="preserve"> </v>
      </c>
      <c r="AM52" s="799" t="str">
        <f t="shared" si="24"/>
        <v xml:space="preserve"> </v>
      </c>
      <c r="AN52" s="821"/>
      <c r="AP52" s="835" t="str">
        <f t="shared" si="25"/>
        <v xml:space="preserve"> </v>
      </c>
      <c r="AQ52" s="799" t="str">
        <f t="shared" si="21"/>
        <v xml:space="preserve"> </v>
      </c>
      <c r="AT52" s="835" t="str">
        <f t="shared" si="26"/>
        <v xml:space="preserve"> </v>
      </c>
      <c r="AU52" s="799" t="str">
        <f t="shared" si="22"/>
        <v xml:space="preserve"> </v>
      </c>
    </row>
    <row r="53" spans="1:51" ht="15" customHeight="1" x14ac:dyDescent="0.25">
      <c r="A53" s="835"/>
      <c r="C53" s="725"/>
      <c r="D53" s="725" t="str">
        <f>AA58</f>
        <v xml:space="preserve"> </v>
      </c>
      <c r="E53" s="725"/>
      <c r="F53" s="725"/>
      <c r="G53" s="725"/>
      <c r="H53" s="1458" t="str">
        <f>AE58</f>
        <v xml:space="preserve"> </v>
      </c>
      <c r="I53" s="1458"/>
      <c r="J53" s="725"/>
      <c r="K53" s="725"/>
      <c r="L53" s="725"/>
      <c r="M53" s="725" t="str">
        <f>AG58</f>
        <v xml:space="preserve"> </v>
      </c>
      <c r="N53" s="725"/>
      <c r="O53" s="725"/>
      <c r="P53" s="725"/>
      <c r="Q53" s="1457" t="str">
        <f>AI58</f>
        <v xml:space="preserve"> </v>
      </c>
      <c r="R53" s="1457"/>
      <c r="S53" s="1421"/>
      <c r="T53" s="1421"/>
      <c r="U53" s="1421"/>
      <c r="V53" s="921"/>
      <c r="W53" s="1042"/>
      <c r="Z53" s="799"/>
      <c r="AA53" s="799"/>
      <c r="AJ53" s="835" t="str">
        <f>IF($X$21=1,AL53," ")</f>
        <v xml:space="preserve"> </v>
      </c>
      <c r="AK53" s="835" t="str">
        <f>IF($X$21=1,AM53," ")</f>
        <v xml:space="preserve"> </v>
      </c>
      <c r="AL53" s="799" t="str">
        <f>IF($S$28="x",AL42," ")</f>
        <v xml:space="preserve"> </v>
      </c>
      <c r="AM53" s="799">
        <f>IF($S$28="x",AM42,0)</f>
        <v>0</v>
      </c>
      <c r="AN53" s="835" t="str">
        <f>IF($X$21=1,AP53," ")</f>
        <v xml:space="preserve"> </v>
      </c>
      <c r="AO53" s="835" t="str">
        <f>IF($X$21=1,AQ53," ")</f>
        <v xml:space="preserve"> </v>
      </c>
      <c r="AP53" s="799" t="str">
        <f>IF($S$28="x",AP42," ")</f>
        <v xml:space="preserve"> </v>
      </c>
      <c r="AQ53" s="799">
        <f>IF($S$28="x",AQ42,0)</f>
        <v>0</v>
      </c>
      <c r="AR53" s="835" t="str">
        <f>IF($X$21=1,AT53," ")</f>
        <v xml:space="preserve"> </v>
      </c>
      <c r="AS53" s="835" t="str">
        <f>IF($X$21=1,AU53," ")</f>
        <v xml:space="preserve"> </v>
      </c>
      <c r="AT53" s="799" t="str">
        <f>IF($S$28="x",AT42," ")</f>
        <v xml:space="preserve"> </v>
      </c>
      <c r="AU53" s="799">
        <f>IF($S$28="x",AU42,0)</f>
        <v>0</v>
      </c>
      <c r="AV53" s="799"/>
    </row>
    <row r="54" spans="1:51" ht="15" customHeight="1" x14ac:dyDescent="0.25">
      <c r="A54" s="835"/>
      <c r="C54" s="725"/>
      <c r="D54" s="725" t="str">
        <f>AA59</f>
        <v xml:space="preserve"> </v>
      </c>
      <c r="E54" s="725"/>
      <c r="F54" s="725"/>
      <c r="G54" s="725"/>
      <c r="H54" s="1458" t="str">
        <f>AE59</f>
        <v xml:space="preserve"> </v>
      </c>
      <c r="I54" s="1458"/>
      <c r="J54" s="725"/>
      <c r="K54" s="725"/>
      <c r="L54" s="725"/>
      <c r="M54" s="725" t="str">
        <f>AG59</f>
        <v xml:space="preserve"> </v>
      </c>
      <c r="N54" s="725"/>
      <c r="O54" s="725"/>
      <c r="P54" s="725"/>
      <c r="Q54" s="1457" t="str">
        <f>AI59</f>
        <v xml:space="preserve"> </v>
      </c>
      <c r="R54" s="1457"/>
      <c r="S54" s="897" t="str">
        <f>Y55</f>
        <v xml:space="preserve"> </v>
      </c>
      <c r="T54" s="725"/>
      <c r="U54" s="725"/>
      <c r="V54" s="921"/>
      <c r="W54" s="1042"/>
      <c r="Z54" s="799"/>
      <c r="AA54" s="799"/>
      <c r="AL54" s="835" t="str">
        <f>IF($X$21=1,AM54," ")</f>
        <v xml:space="preserve"> </v>
      </c>
      <c r="AM54">
        <f>ROUND(AM53,2)</f>
        <v>0</v>
      </c>
      <c r="AP54" s="835" t="str">
        <f t="shared" ref="AP54" si="27">IF($X$21=1,AQ54," ")</f>
        <v xml:space="preserve"> </v>
      </c>
      <c r="AQ54" s="799">
        <f>ROUND(AQ53,2)</f>
        <v>0</v>
      </c>
      <c r="AT54" s="835" t="str">
        <f t="shared" ref="AT54" si="28">IF($X$21=1,AU54," ")</f>
        <v xml:space="preserve"> </v>
      </c>
      <c r="AU54" s="799">
        <f>ROUND(AU53,2)</f>
        <v>0</v>
      </c>
    </row>
    <row r="55" spans="1:51" ht="15" customHeight="1" x14ac:dyDescent="0.25">
      <c r="A55" s="835"/>
      <c r="C55" s="725"/>
      <c r="D55" s="1450" t="str">
        <f>AA55</f>
        <v xml:space="preserve"> </v>
      </c>
      <c r="E55" s="1450"/>
      <c r="F55" s="1450"/>
      <c r="G55" s="1450"/>
      <c r="H55" s="1450"/>
      <c r="I55" s="1450"/>
      <c r="J55" s="1450"/>
      <c r="K55" s="1450"/>
      <c r="L55" s="1450"/>
      <c r="M55" s="1450"/>
      <c r="N55" s="1450"/>
      <c r="O55" s="1450"/>
      <c r="P55" s="1450"/>
      <c r="Q55" s="1450"/>
      <c r="R55" s="1450"/>
      <c r="S55" s="725"/>
      <c r="T55" s="725"/>
      <c r="U55" s="725"/>
      <c r="V55" s="921"/>
      <c r="W55" s="1042"/>
      <c r="Y55" s="800" t="str">
        <f>IF($Z$51=4,Z55," ")</f>
        <v xml:space="preserve"> </v>
      </c>
      <c r="Z55" s="896" t="s">
        <v>1054</v>
      </c>
      <c r="AA55" s="800" t="str">
        <f>IF($Z$51=4,AL55," ")</f>
        <v xml:space="preserve"> </v>
      </c>
      <c r="AL55" s="835" t="e">
        <f>CONCATENATE("Range in degree marks: ",Y59, " percentage points")</f>
        <v>#VALUE!</v>
      </c>
    </row>
    <row r="56" spans="1:51" ht="6" customHeight="1" x14ac:dyDescent="0.25">
      <c r="A56" s="835"/>
      <c r="C56" s="725"/>
      <c r="D56" s="907"/>
      <c r="E56" s="907"/>
      <c r="F56" s="907"/>
      <c r="G56" s="907"/>
      <c r="H56" s="907"/>
      <c r="I56" s="907"/>
      <c r="J56" s="907"/>
      <c r="K56" s="907"/>
      <c r="L56" s="907"/>
      <c r="M56" s="907"/>
      <c r="N56" s="907"/>
      <c r="O56" s="907"/>
      <c r="P56" s="907"/>
      <c r="Q56" s="907"/>
      <c r="R56" s="907"/>
      <c r="S56" s="725"/>
      <c r="T56" s="725"/>
      <c r="U56" s="725"/>
      <c r="V56" s="921"/>
      <c r="W56" s="1042"/>
      <c r="Y56" s="800" t="str">
        <f>IF($Z$51=4,Z56,"")</f>
        <v/>
      </c>
      <c r="Z56" s="899" t="s">
        <v>29</v>
      </c>
      <c r="AA56" s="799" t="str">
        <f>IF($Z$51=4,AL56," ")</f>
        <v xml:space="preserve"> </v>
      </c>
      <c r="AG56" s="799" t="str">
        <f>IF($Z$51=4,AO56," ")</f>
        <v xml:space="preserve"> </v>
      </c>
      <c r="AL56" s="800" t="s">
        <v>1075</v>
      </c>
      <c r="AO56" s="800" t="s">
        <v>1076</v>
      </c>
    </row>
    <row r="57" spans="1:51" ht="15" customHeight="1" x14ac:dyDescent="0.25">
      <c r="A57" s="835"/>
      <c r="C57" s="1421" t="str">
        <f>Y60</f>
        <v xml:space="preserve"> </v>
      </c>
      <c r="D57" s="1421"/>
      <c r="E57" s="1421"/>
      <c r="F57" s="1421"/>
      <c r="G57" s="1421"/>
      <c r="H57" s="1421"/>
      <c r="I57" s="1421"/>
      <c r="J57" s="1421"/>
      <c r="K57" s="1421"/>
      <c r="L57" s="1421"/>
      <c r="M57" s="1421"/>
      <c r="N57" s="1421"/>
      <c r="O57" s="1421"/>
      <c r="P57" s="1421"/>
      <c r="Q57" s="1421"/>
      <c r="R57" s="1421"/>
      <c r="S57" s="1421"/>
      <c r="T57" s="1421"/>
      <c r="U57" s="725"/>
      <c r="V57" s="921"/>
      <c r="W57" s="1042"/>
      <c r="AA57" t="str">
        <f>IF($Z$51=4,AL57," ")</f>
        <v xml:space="preserve"> </v>
      </c>
      <c r="AE57" s="799" t="str">
        <f>IF($Z$51=4,AM57," ")</f>
        <v xml:space="preserve"> </v>
      </c>
      <c r="AG57" s="799" t="str">
        <f>IF($Z$51=4,AO57," ")</f>
        <v xml:space="preserve"> </v>
      </c>
      <c r="AI57" s="799" t="str">
        <f>IF($Z$51=4,AP57," ")</f>
        <v xml:space="preserve"> </v>
      </c>
      <c r="AK57">
        <v>1</v>
      </c>
      <c r="AL57" s="843" t="s">
        <v>925</v>
      </c>
      <c r="AM57" s="848">
        <v>76.78</v>
      </c>
      <c r="AN57">
        <v>12</v>
      </c>
      <c r="AO57" s="848" t="s">
        <v>51</v>
      </c>
      <c r="AP57" s="848">
        <v>65.63</v>
      </c>
      <c r="AQ57">
        <v>12</v>
      </c>
      <c r="AS57" t="s">
        <v>925</v>
      </c>
      <c r="AT57">
        <v>76.78</v>
      </c>
      <c r="AU57" t="s">
        <v>51</v>
      </c>
      <c r="AV57">
        <v>65.63</v>
      </c>
    </row>
    <row r="58" spans="1:51" ht="15" customHeight="1" x14ac:dyDescent="0.25">
      <c r="A58" s="835"/>
      <c r="C58" s="1421"/>
      <c r="D58" s="1421"/>
      <c r="E58" s="1421"/>
      <c r="F58" s="1421"/>
      <c r="G58" s="1421"/>
      <c r="H58" s="1421"/>
      <c r="I58" s="1421"/>
      <c r="J58" s="1421"/>
      <c r="K58" s="1421"/>
      <c r="L58" s="1421"/>
      <c r="M58" s="1421"/>
      <c r="N58" s="1421"/>
      <c r="O58" s="1421"/>
      <c r="P58" s="1421"/>
      <c r="Q58" s="1421"/>
      <c r="R58" s="1421"/>
      <c r="S58" s="1421"/>
      <c r="T58" s="1421"/>
      <c r="U58" s="725"/>
      <c r="V58" s="921"/>
      <c r="W58" s="1042"/>
      <c r="AA58" s="799" t="str">
        <f t="shared" ref="AA58:AA59" si="29">IF($Z$51=4,AL58," ")</f>
        <v xml:space="preserve"> </v>
      </c>
      <c r="AE58" s="799" t="str">
        <f t="shared" ref="AE58:AE59" si="30">IF($Z$51=4,AM58," ")</f>
        <v xml:space="preserve"> </v>
      </c>
      <c r="AG58" s="799" t="str">
        <f t="shared" ref="AG58:AG59" si="31">IF($Z$51=4,AO58," ")</f>
        <v xml:space="preserve"> </v>
      </c>
      <c r="AI58" s="799" t="str">
        <f t="shared" ref="AI58:AI59" si="32">IF($Z$51=4,AP58," ")</f>
        <v xml:space="preserve"> </v>
      </c>
      <c r="AK58">
        <f>AK57+1</f>
        <v>2</v>
      </c>
      <c r="AL58" s="843" t="s">
        <v>447</v>
      </c>
      <c r="AM58" s="848">
        <v>73.650000000000006</v>
      </c>
      <c r="AN58">
        <v>11</v>
      </c>
      <c r="AO58" s="848" t="s">
        <v>101</v>
      </c>
      <c r="AP58" s="848">
        <v>65.23</v>
      </c>
      <c r="AQ58">
        <v>11</v>
      </c>
      <c r="AS58" t="s">
        <v>447</v>
      </c>
      <c r="AT58">
        <v>73.650000000000006</v>
      </c>
      <c r="AU58" t="s">
        <v>101</v>
      </c>
      <c r="AV58">
        <v>65.23</v>
      </c>
    </row>
    <row r="59" spans="1:51" ht="15" customHeight="1" x14ac:dyDescent="0.25">
      <c r="A59" s="835"/>
      <c r="C59" s="1421"/>
      <c r="D59" s="1421"/>
      <c r="E59" s="1421"/>
      <c r="F59" s="1421"/>
      <c r="G59" s="1421"/>
      <c r="H59" s="1421"/>
      <c r="I59" s="1421"/>
      <c r="J59" s="1421"/>
      <c r="K59" s="1421"/>
      <c r="L59" s="1421"/>
      <c r="M59" s="1421"/>
      <c r="N59" s="1421"/>
      <c r="O59" s="1421"/>
      <c r="P59" s="1421"/>
      <c r="Q59" s="1421"/>
      <c r="R59" s="1421"/>
      <c r="S59" s="1421"/>
      <c r="T59" s="1421"/>
      <c r="U59" s="725"/>
      <c r="V59" s="921"/>
      <c r="W59" s="1042"/>
      <c r="Y59" t="e">
        <f>H52-Q54</f>
        <v>#VALUE!</v>
      </c>
      <c r="AA59" s="799" t="str">
        <f t="shared" si="29"/>
        <v xml:space="preserve"> </v>
      </c>
      <c r="AE59" s="799" t="str">
        <f t="shared" si="30"/>
        <v xml:space="preserve"> </v>
      </c>
      <c r="AG59" s="799" t="str">
        <f t="shared" si="31"/>
        <v xml:space="preserve"> </v>
      </c>
      <c r="AI59" s="799" t="str">
        <f t="shared" si="32"/>
        <v xml:space="preserve"> </v>
      </c>
      <c r="AK59" s="799">
        <f t="shared" ref="AK59" si="33">AK58+1</f>
        <v>3</v>
      </c>
      <c r="AL59" s="843" t="s">
        <v>1050</v>
      </c>
      <c r="AM59" s="848">
        <v>73.44</v>
      </c>
      <c r="AN59">
        <v>10</v>
      </c>
      <c r="AO59" s="848" t="s">
        <v>73</v>
      </c>
      <c r="AP59" s="848">
        <v>63.44</v>
      </c>
      <c r="AQ59">
        <v>10</v>
      </c>
      <c r="AS59" t="s">
        <v>1050</v>
      </c>
      <c r="AT59">
        <v>73.44</v>
      </c>
      <c r="AU59" t="s">
        <v>73</v>
      </c>
      <c r="AV59">
        <v>63.44</v>
      </c>
    </row>
    <row r="60" spans="1:51" ht="15" customHeight="1" x14ac:dyDescent="0.25">
      <c r="A60" s="835"/>
      <c r="C60" s="1421"/>
      <c r="D60" s="1421"/>
      <c r="E60" s="1421"/>
      <c r="F60" s="1421"/>
      <c r="G60" s="1421"/>
      <c r="H60" s="1421"/>
      <c r="I60" s="1421"/>
      <c r="J60" s="1421"/>
      <c r="K60" s="1421"/>
      <c r="L60" s="1421"/>
      <c r="M60" s="1421"/>
      <c r="N60" s="1421"/>
      <c r="O60" s="1421"/>
      <c r="P60" s="1421"/>
      <c r="Q60" s="1421"/>
      <c r="R60" s="1421"/>
      <c r="S60" s="1421"/>
      <c r="T60" s="1421"/>
      <c r="U60" s="831"/>
      <c r="V60" s="921"/>
      <c r="W60" s="1042"/>
      <c r="Y60" s="770" t="str">
        <f>IF($Z$51=4,AJ60," ")</f>
        <v xml:space="preserve"> </v>
      </c>
      <c r="AA60" s="799"/>
      <c r="AE60" s="799"/>
      <c r="AG60" s="799"/>
      <c r="AI60" s="799"/>
      <c r="AJ60" s="770" t="s">
        <v>1118</v>
      </c>
      <c r="AK60" s="3"/>
      <c r="AL60" s="3"/>
      <c r="AM60" s="3"/>
      <c r="AN60" s="3"/>
      <c r="AO60" s="3"/>
      <c r="AP60" s="3"/>
      <c r="AQ60" s="3"/>
      <c r="AR60" s="3"/>
    </row>
    <row r="61" spans="1:51" ht="15" customHeight="1" x14ac:dyDescent="0.25">
      <c r="A61" s="835"/>
      <c r="C61" s="831"/>
      <c r="D61" s="854" t="str">
        <f>Y61</f>
        <v xml:space="preserve"> </v>
      </c>
      <c r="E61" s="831"/>
      <c r="F61" s="831"/>
      <c r="G61" s="831"/>
      <c r="H61" s="831"/>
      <c r="I61" s="831"/>
      <c r="J61" s="831"/>
      <c r="K61" s="831"/>
      <c r="L61" s="831"/>
      <c r="M61" s="831"/>
      <c r="N61" s="831"/>
      <c r="O61" s="831"/>
      <c r="P61" s="831"/>
      <c r="Q61" s="831"/>
      <c r="R61" s="831"/>
      <c r="S61" s="831"/>
      <c r="T61" s="831"/>
      <c r="U61" s="831"/>
      <c r="V61" s="921"/>
      <c r="W61" s="1042"/>
      <c r="Y61" s="770" t="str">
        <f>IF($Z$51=4,AJ61," ")</f>
        <v xml:space="preserve"> </v>
      </c>
      <c r="AA61" s="799"/>
      <c r="AG61" s="799"/>
      <c r="AH61" s="770" t="str">
        <f t="shared" ref="AH61:AH68" si="34">IF($Z$51=4,AT62," ")</f>
        <v xml:space="preserve"> </v>
      </c>
      <c r="AI61" s="770"/>
      <c r="AJ61" s="800" t="s">
        <v>1109</v>
      </c>
      <c r="AK61" s="3"/>
      <c r="AL61" s="3"/>
      <c r="AM61" s="3"/>
      <c r="AN61" s="3"/>
      <c r="AO61" s="3"/>
      <c r="AP61" s="800" t="s">
        <v>1088</v>
      </c>
      <c r="AQ61" s="3"/>
      <c r="AR61" s="3"/>
    </row>
    <row r="62" spans="1:51" ht="15" customHeight="1" x14ac:dyDescent="0.25">
      <c r="A62" s="835"/>
      <c r="C62" s="831"/>
      <c r="D62" s="99" t="str">
        <f>Y62</f>
        <v xml:space="preserve"> </v>
      </c>
      <c r="E62" s="953" t="str">
        <f>Z62</f>
        <v xml:space="preserve"> </v>
      </c>
      <c r="F62" s="954" t="str">
        <f t="shared" ref="F62:F68" si="35">AA62</f>
        <v xml:space="preserve"> </v>
      </c>
      <c r="G62" s="99" t="str">
        <f t="shared" ref="G62:L68" si="36">AB62</f>
        <v xml:space="preserve"> </v>
      </c>
      <c r="H62" s="953" t="str">
        <f t="shared" si="36"/>
        <v xml:space="preserve"> </v>
      </c>
      <c r="I62" s="954" t="str">
        <f t="shared" si="36"/>
        <v xml:space="preserve"> </v>
      </c>
      <c r="J62" s="99" t="str">
        <f t="shared" si="36"/>
        <v xml:space="preserve"> </v>
      </c>
      <c r="K62" s="953" t="str">
        <f t="shared" si="36"/>
        <v xml:space="preserve"> </v>
      </c>
      <c r="L62" s="954" t="str">
        <f t="shared" si="36"/>
        <v xml:space="preserve"> </v>
      </c>
      <c r="M62" s="831"/>
      <c r="N62" s="943" t="str">
        <f t="shared" ref="N62:N69" si="37">AH61</f>
        <v xml:space="preserve"> </v>
      </c>
      <c r="O62" s="831"/>
      <c r="P62" s="831"/>
      <c r="Q62" s="831"/>
      <c r="R62" s="910"/>
      <c r="S62" s="910"/>
      <c r="T62" s="831"/>
      <c r="U62" s="831"/>
      <c r="V62" s="921"/>
      <c r="W62" s="1042"/>
      <c r="Y62" s="770" t="str">
        <f>IF($Z$51=4,AJ62," ")</f>
        <v xml:space="preserve"> </v>
      </c>
      <c r="Z62" s="770" t="str">
        <f t="shared" ref="Z62:AE69" si="38">IF($Z$51=4,AK62," ")</f>
        <v xml:space="preserve"> </v>
      </c>
      <c r="AA62" s="770" t="str">
        <f t="shared" si="38"/>
        <v xml:space="preserve"> </v>
      </c>
      <c r="AB62" s="770" t="str">
        <f t="shared" si="38"/>
        <v xml:space="preserve"> </v>
      </c>
      <c r="AC62" s="770" t="str">
        <f t="shared" si="38"/>
        <v xml:space="preserve"> </v>
      </c>
      <c r="AD62" s="770" t="str">
        <f t="shared" si="38"/>
        <v xml:space="preserve"> </v>
      </c>
      <c r="AE62" s="770" t="str">
        <f t="shared" si="38"/>
        <v xml:space="preserve"> </v>
      </c>
      <c r="AF62" s="770" t="str">
        <f t="shared" ref="AF62:AF68" si="39">IF($Z$51=4,AQ62," ")</f>
        <v xml:space="preserve"> </v>
      </c>
      <c r="AG62" s="770" t="str">
        <f t="shared" ref="AG62:AG69" si="40">IF($Z$51=4,AR62," ")</f>
        <v xml:space="preserve"> </v>
      </c>
      <c r="AH62" s="770" t="str">
        <f t="shared" si="34"/>
        <v xml:space="preserve"> </v>
      </c>
      <c r="AI62" s="770" t="str">
        <f>IF($Z$51=4,AU63," ")</f>
        <v xml:space="preserve"> </v>
      </c>
      <c r="AJ62" s="513" t="s">
        <v>13</v>
      </c>
      <c r="AK62" s="800" t="s">
        <v>1041</v>
      </c>
      <c r="AL62" s="800" t="s">
        <v>810</v>
      </c>
      <c r="AM62" s="514" t="s">
        <v>14</v>
      </c>
      <c r="AN62" s="800" t="s">
        <v>1041</v>
      </c>
      <c r="AO62" s="800" t="s">
        <v>810</v>
      </c>
      <c r="AP62" s="515" t="s">
        <v>15</v>
      </c>
      <c r="AQ62" s="800" t="s">
        <v>1041</v>
      </c>
      <c r="AR62" s="800" t="s">
        <v>810</v>
      </c>
      <c r="AT62" s="908" t="str">
        <f>AL56</f>
        <v>Top 3 degree marks</v>
      </c>
      <c r="AU62" s="831"/>
      <c r="AV62" s="831"/>
      <c r="AW62" s="831"/>
      <c r="AX62" s="910"/>
      <c r="AY62" s="910"/>
    </row>
    <row r="63" spans="1:51" ht="15" customHeight="1" x14ac:dyDescent="0.25">
      <c r="A63" s="835"/>
      <c r="C63" s="831"/>
      <c r="D63" s="916" t="str">
        <f>Y63</f>
        <v xml:space="preserve"> </v>
      </c>
      <c r="E63" s="373" t="str">
        <f>Z63</f>
        <v xml:space="preserve"> </v>
      </c>
      <c r="F63" s="917" t="str">
        <f t="shared" si="35"/>
        <v xml:space="preserve"> </v>
      </c>
      <c r="G63" s="916" t="str">
        <f t="shared" si="36"/>
        <v xml:space="preserve"> </v>
      </c>
      <c r="H63" s="373" t="str">
        <f t="shared" si="36"/>
        <v xml:space="preserve"> </v>
      </c>
      <c r="I63" s="917" t="str">
        <f t="shared" si="36"/>
        <v xml:space="preserve"> </v>
      </c>
      <c r="J63" s="916" t="str">
        <f t="shared" si="36"/>
        <v xml:space="preserve"> </v>
      </c>
      <c r="K63" s="373" t="str">
        <f t="shared" si="36"/>
        <v xml:space="preserve"> </v>
      </c>
      <c r="L63" s="917" t="str">
        <f t="shared" si="36"/>
        <v xml:space="preserve"> </v>
      </c>
      <c r="M63" s="831"/>
      <c r="N63" s="716" t="str">
        <f t="shared" si="37"/>
        <v xml:space="preserve"> </v>
      </c>
      <c r="O63" s="831"/>
      <c r="P63" s="831"/>
      <c r="Q63" s="831"/>
      <c r="R63" s="1456" t="str">
        <f>AI62</f>
        <v xml:space="preserve"> </v>
      </c>
      <c r="S63" s="1456"/>
      <c r="T63" s="831"/>
      <c r="U63" s="831"/>
      <c r="V63" s="921"/>
      <c r="W63" s="1042"/>
      <c r="Y63" s="770" t="str">
        <f t="shared" ref="Y63:Y68" si="41">IF($Z$51=4,AJ63," ")</f>
        <v xml:space="preserve"> </v>
      </c>
      <c r="Z63" s="770" t="str">
        <f t="shared" si="38"/>
        <v xml:space="preserve"> </v>
      </c>
      <c r="AA63" s="770" t="str">
        <f t="shared" si="38"/>
        <v xml:space="preserve"> </v>
      </c>
      <c r="AB63" s="770" t="str">
        <f t="shared" si="38"/>
        <v xml:space="preserve"> </v>
      </c>
      <c r="AC63" s="770" t="str">
        <f t="shared" si="38"/>
        <v xml:space="preserve"> </v>
      </c>
      <c r="AD63" s="770" t="str">
        <f t="shared" si="38"/>
        <v xml:space="preserve"> </v>
      </c>
      <c r="AE63" s="770" t="str">
        <f t="shared" si="38"/>
        <v xml:space="preserve"> </v>
      </c>
      <c r="AF63" s="770" t="str">
        <f t="shared" si="39"/>
        <v xml:space="preserve"> </v>
      </c>
      <c r="AG63" s="770" t="str">
        <f t="shared" si="40"/>
        <v xml:space="preserve"> </v>
      </c>
      <c r="AH63" s="770" t="str">
        <f t="shared" si="34"/>
        <v xml:space="preserve"> </v>
      </c>
      <c r="AI63" s="770" t="str">
        <f>IF($Z$51=4,AU64," ")</f>
        <v xml:space="preserve"> </v>
      </c>
      <c r="AJ63" s="800" t="s">
        <v>1055</v>
      </c>
      <c r="AK63" s="329">
        <v>30</v>
      </c>
      <c r="AL63" s="524">
        <v>55</v>
      </c>
      <c r="AM63" s="800" t="s">
        <v>1056</v>
      </c>
      <c r="AN63" s="329">
        <v>15</v>
      </c>
      <c r="AO63" s="524">
        <v>60</v>
      </c>
      <c r="AP63" s="800" t="s">
        <v>1057</v>
      </c>
      <c r="AQ63" s="329">
        <v>30</v>
      </c>
      <c r="AR63" s="948">
        <v>63</v>
      </c>
      <c r="AT63" s="716" t="s">
        <v>925</v>
      </c>
      <c r="AU63" s="898">
        <v>66.56</v>
      </c>
      <c r="AV63" s="831"/>
      <c r="AW63" s="831"/>
      <c r="AY63" s="898"/>
    </row>
    <row r="64" spans="1:51" ht="15" customHeight="1" x14ac:dyDescent="0.25">
      <c r="A64" s="835"/>
      <c r="C64" s="831"/>
      <c r="D64" s="916" t="str">
        <f t="shared" ref="D64:D68" si="42">Y64</f>
        <v xml:space="preserve"> </v>
      </c>
      <c r="E64" s="373" t="str">
        <f t="shared" ref="E64:E68" si="43">Z64</f>
        <v xml:space="preserve"> </v>
      </c>
      <c r="F64" s="917" t="str">
        <f t="shared" si="35"/>
        <v xml:space="preserve"> </v>
      </c>
      <c r="G64" s="916" t="str">
        <f t="shared" si="36"/>
        <v xml:space="preserve"> </v>
      </c>
      <c r="H64" s="373" t="str">
        <f t="shared" si="36"/>
        <v xml:space="preserve"> </v>
      </c>
      <c r="I64" s="917" t="str">
        <f t="shared" si="36"/>
        <v xml:space="preserve"> </v>
      </c>
      <c r="J64" s="916" t="str">
        <f t="shared" si="36"/>
        <v xml:space="preserve"> </v>
      </c>
      <c r="K64" s="373" t="str">
        <f t="shared" si="36"/>
        <v xml:space="preserve"> </v>
      </c>
      <c r="L64" s="917" t="str">
        <f t="shared" si="36"/>
        <v xml:space="preserve"> </v>
      </c>
      <c r="M64" s="831"/>
      <c r="N64" s="716" t="str">
        <f t="shared" si="37"/>
        <v xml:space="preserve"> </v>
      </c>
      <c r="O64" s="831"/>
      <c r="P64" s="831"/>
      <c r="Q64" s="831"/>
      <c r="R64" s="1456" t="str">
        <f>AI63</f>
        <v xml:space="preserve"> </v>
      </c>
      <c r="S64" s="1456"/>
      <c r="T64" s="831"/>
      <c r="U64" s="831"/>
      <c r="V64" s="921"/>
      <c r="W64" s="1042"/>
      <c r="Y64" s="770" t="str">
        <f t="shared" si="41"/>
        <v xml:space="preserve"> </v>
      </c>
      <c r="Z64" s="770" t="str">
        <f t="shared" si="38"/>
        <v xml:space="preserve"> </v>
      </c>
      <c r="AA64" s="770" t="str">
        <f t="shared" si="38"/>
        <v xml:space="preserve"> </v>
      </c>
      <c r="AB64" s="770" t="str">
        <f t="shared" si="38"/>
        <v xml:space="preserve"> </v>
      </c>
      <c r="AC64" s="770" t="str">
        <f t="shared" si="38"/>
        <v xml:space="preserve"> </v>
      </c>
      <c r="AD64" s="770" t="str">
        <f t="shared" si="38"/>
        <v xml:space="preserve"> </v>
      </c>
      <c r="AE64" s="770" t="str">
        <f t="shared" si="38"/>
        <v xml:space="preserve"> </v>
      </c>
      <c r="AF64" s="770" t="str">
        <f t="shared" si="39"/>
        <v xml:space="preserve"> </v>
      </c>
      <c r="AG64" s="770" t="str">
        <f t="shared" si="40"/>
        <v xml:space="preserve"> </v>
      </c>
      <c r="AH64" s="770" t="str">
        <f t="shared" si="34"/>
        <v xml:space="preserve"> </v>
      </c>
      <c r="AI64" s="770" t="str">
        <f>IF($Z$51=4,AU65," ")</f>
        <v xml:space="preserve"> </v>
      </c>
      <c r="AJ64" s="800" t="s">
        <v>1058</v>
      </c>
      <c r="AK64" s="329">
        <v>30</v>
      </c>
      <c r="AL64" s="876">
        <v>61</v>
      </c>
      <c r="AM64" s="800" t="s">
        <v>1059</v>
      </c>
      <c r="AN64" s="329">
        <v>15</v>
      </c>
      <c r="AO64" s="876">
        <v>61</v>
      </c>
      <c r="AP64" s="800" t="s">
        <v>1060</v>
      </c>
      <c r="AQ64" s="329">
        <v>30</v>
      </c>
      <c r="AR64" s="947">
        <v>64</v>
      </c>
      <c r="AT64" s="716" t="s">
        <v>405</v>
      </c>
      <c r="AU64" s="898">
        <v>65.13</v>
      </c>
      <c r="AV64" s="831"/>
      <c r="AW64" s="831"/>
      <c r="AY64" s="898"/>
    </row>
    <row r="65" spans="1:68" ht="15" customHeight="1" x14ac:dyDescent="0.25">
      <c r="A65" s="835"/>
      <c r="C65" s="831"/>
      <c r="D65" s="916" t="str">
        <f t="shared" si="42"/>
        <v xml:space="preserve"> </v>
      </c>
      <c r="E65" s="373" t="str">
        <f t="shared" si="43"/>
        <v xml:space="preserve"> </v>
      </c>
      <c r="F65" s="917" t="str">
        <f t="shared" si="35"/>
        <v xml:space="preserve"> </v>
      </c>
      <c r="G65" s="916" t="str">
        <f t="shared" si="36"/>
        <v xml:space="preserve"> </v>
      </c>
      <c r="H65" s="373" t="str">
        <f t="shared" si="36"/>
        <v xml:space="preserve"> </v>
      </c>
      <c r="I65" s="917" t="str">
        <f t="shared" si="36"/>
        <v xml:space="preserve"> </v>
      </c>
      <c r="J65" s="916" t="str">
        <f t="shared" si="36"/>
        <v xml:space="preserve"> </v>
      </c>
      <c r="K65" s="373" t="str">
        <f t="shared" si="36"/>
        <v xml:space="preserve"> </v>
      </c>
      <c r="L65" s="917" t="str">
        <f t="shared" si="36"/>
        <v xml:space="preserve"> </v>
      </c>
      <c r="M65" s="831"/>
      <c r="N65" s="716" t="str">
        <f t="shared" si="37"/>
        <v xml:space="preserve"> </v>
      </c>
      <c r="O65" s="831"/>
      <c r="P65" s="831"/>
      <c r="Q65" s="831"/>
      <c r="R65" s="1456" t="str">
        <f>AI64</f>
        <v xml:space="preserve"> </v>
      </c>
      <c r="S65" s="1456"/>
      <c r="T65" s="831"/>
      <c r="U65" s="831"/>
      <c r="V65" s="921"/>
      <c r="W65" s="1042"/>
      <c r="Y65" s="770" t="str">
        <f t="shared" si="41"/>
        <v xml:space="preserve"> </v>
      </c>
      <c r="Z65" s="770" t="str">
        <f t="shared" si="38"/>
        <v xml:space="preserve"> </v>
      </c>
      <c r="AA65" s="770" t="str">
        <f t="shared" si="38"/>
        <v xml:space="preserve"> </v>
      </c>
      <c r="AB65" s="770" t="str">
        <f t="shared" si="38"/>
        <v xml:space="preserve"> </v>
      </c>
      <c r="AC65" s="770" t="str">
        <f t="shared" si="38"/>
        <v xml:space="preserve"> </v>
      </c>
      <c r="AD65" s="770" t="str">
        <f t="shared" si="38"/>
        <v xml:space="preserve"> </v>
      </c>
      <c r="AE65" s="770" t="str">
        <f t="shared" si="38"/>
        <v xml:space="preserve"> </v>
      </c>
      <c r="AF65" s="770" t="str">
        <f t="shared" si="39"/>
        <v xml:space="preserve"> </v>
      </c>
      <c r="AG65" s="770" t="str">
        <f t="shared" si="40"/>
        <v xml:space="preserve"> </v>
      </c>
      <c r="AH65" s="770" t="str">
        <f t="shared" si="34"/>
        <v xml:space="preserve"> </v>
      </c>
      <c r="AI65" s="770"/>
      <c r="AJ65" s="800" t="s">
        <v>1061</v>
      </c>
      <c r="AK65" s="329">
        <v>15</v>
      </c>
      <c r="AL65" s="876">
        <v>61</v>
      </c>
      <c r="AM65" s="800" t="s">
        <v>1062</v>
      </c>
      <c r="AN65" s="329">
        <v>15</v>
      </c>
      <c r="AO65" s="876">
        <v>62</v>
      </c>
      <c r="AP65" s="800" t="s">
        <v>1063</v>
      </c>
      <c r="AQ65" s="329">
        <v>15</v>
      </c>
      <c r="AR65" s="947">
        <v>65</v>
      </c>
      <c r="AT65" s="716" t="s">
        <v>447</v>
      </c>
      <c r="AU65" s="898">
        <v>64.95</v>
      </c>
      <c r="AV65" s="831"/>
      <c r="AW65" s="831"/>
      <c r="AY65" s="898"/>
    </row>
    <row r="66" spans="1:68" s="800" customFormat="1" ht="15" customHeight="1" x14ac:dyDescent="0.25">
      <c r="A66" s="835"/>
      <c r="B66" s="725"/>
      <c r="C66" s="831"/>
      <c r="D66" s="916" t="str">
        <f t="shared" si="42"/>
        <v xml:space="preserve"> </v>
      </c>
      <c r="E66" s="373" t="str">
        <f t="shared" si="43"/>
        <v xml:space="preserve"> </v>
      </c>
      <c r="F66" s="917" t="str">
        <f t="shared" si="35"/>
        <v xml:space="preserve"> </v>
      </c>
      <c r="G66" s="916" t="str">
        <f t="shared" si="36"/>
        <v xml:space="preserve"> </v>
      </c>
      <c r="H66" s="373" t="str">
        <f t="shared" si="36"/>
        <v xml:space="preserve"> </v>
      </c>
      <c r="I66" s="917" t="str">
        <f t="shared" si="36"/>
        <v xml:space="preserve"> </v>
      </c>
      <c r="J66" s="916" t="str">
        <f t="shared" si="36"/>
        <v xml:space="preserve"> </v>
      </c>
      <c r="K66" s="373" t="str">
        <f t="shared" si="36"/>
        <v xml:space="preserve"> </v>
      </c>
      <c r="L66" s="917" t="str">
        <f t="shared" si="36"/>
        <v xml:space="preserve"> </v>
      </c>
      <c r="M66" s="831"/>
      <c r="N66" s="943" t="str">
        <f t="shared" si="37"/>
        <v xml:space="preserve"> </v>
      </c>
      <c r="O66" s="831"/>
      <c r="P66" s="831"/>
      <c r="Q66" s="831"/>
      <c r="R66" s="864"/>
      <c r="S66" s="831"/>
      <c r="T66" s="831"/>
      <c r="U66" s="831"/>
      <c r="V66" s="921"/>
      <c r="W66" s="1042"/>
      <c r="Y66" s="770" t="str">
        <f t="shared" si="41"/>
        <v xml:space="preserve"> </v>
      </c>
      <c r="Z66" s="770" t="str">
        <f t="shared" si="38"/>
        <v xml:space="preserve"> </v>
      </c>
      <c r="AA66" s="770" t="str">
        <f t="shared" si="38"/>
        <v xml:space="preserve"> </v>
      </c>
      <c r="AB66" s="770" t="str">
        <f t="shared" si="38"/>
        <v xml:space="preserve"> </v>
      </c>
      <c r="AC66" s="770" t="str">
        <f t="shared" si="38"/>
        <v xml:space="preserve"> </v>
      </c>
      <c r="AD66" s="770" t="str">
        <f t="shared" si="38"/>
        <v xml:space="preserve"> </v>
      </c>
      <c r="AE66" s="770" t="str">
        <f t="shared" si="38"/>
        <v xml:space="preserve"> </v>
      </c>
      <c r="AF66" s="770" t="str">
        <f t="shared" si="39"/>
        <v xml:space="preserve"> </v>
      </c>
      <c r="AG66" s="770" t="str">
        <f t="shared" si="40"/>
        <v xml:space="preserve"> </v>
      </c>
      <c r="AH66" s="770" t="str">
        <f t="shared" si="34"/>
        <v xml:space="preserve"> </v>
      </c>
      <c r="AI66" s="770" t="str">
        <f>IF($Z$51=4,AU67," ")</f>
        <v xml:space="preserve"> </v>
      </c>
      <c r="AJ66" s="800" t="s">
        <v>1064</v>
      </c>
      <c r="AK66" s="329">
        <v>15</v>
      </c>
      <c r="AL66" s="876">
        <v>63</v>
      </c>
      <c r="AM66" s="800" t="s">
        <v>1065</v>
      </c>
      <c r="AN66" s="329">
        <v>15</v>
      </c>
      <c r="AO66" s="876">
        <v>63</v>
      </c>
      <c r="AP66" s="800" t="s">
        <v>1066</v>
      </c>
      <c r="AQ66" s="329">
        <v>15</v>
      </c>
      <c r="AR66" s="947">
        <v>67</v>
      </c>
      <c r="AT66" s="908" t="str">
        <f>AO56</f>
        <v>Bottom 3 degree marks</v>
      </c>
      <c r="AU66" s="864"/>
      <c r="AV66" s="831"/>
      <c r="AW66" s="831"/>
      <c r="AY66" s="831"/>
    </row>
    <row r="67" spans="1:68" s="800" customFormat="1" ht="15" customHeight="1" x14ac:dyDescent="0.25">
      <c r="A67" s="835"/>
      <c r="B67" s="725"/>
      <c r="C67" s="831"/>
      <c r="D67" s="916" t="str">
        <f t="shared" si="42"/>
        <v xml:space="preserve"> </v>
      </c>
      <c r="E67" s="373" t="str">
        <f t="shared" si="43"/>
        <v xml:space="preserve"> </v>
      </c>
      <c r="F67" s="917" t="str">
        <f t="shared" si="35"/>
        <v xml:space="preserve"> </v>
      </c>
      <c r="G67" s="916" t="str">
        <f t="shared" si="36"/>
        <v xml:space="preserve"> </v>
      </c>
      <c r="H67" s="373" t="str">
        <f t="shared" si="36"/>
        <v xml:space="preserve"> </v>
      </c>
      <c r="I67" s="917" t="str">
        <f t="shared" si="36"/>
        <v xml:space="preserve"> </v>
      </c>
      <c r="J67" s="916" t="str">
        <f t="shared" si="36"/>
        <v xml:space="preserve"> </v>
      </c>
      <c r="K67" s="373" t="str">
        <f t="shared" si="36"/>
        <v xml:space="preserve"> </v>
      </c>
      <c r="L67" s="917" t="str">
        <f t="shared" si="36"/>
        <v xml:space="preserve"> </v>
      </c>
      <c r="M67" s="831"/>
      <c r="N67" s="716" t="str">
        <f t="shared" si="37"/>
        <v xml:space="preserve"> </v>
      </c>
      <c r="O67" s="831"/>
      <c r="P67" s="909"/>
      <c r="Q67" s="909"/>
      <c r="R67" s="1451" t="str">
        <f>AI66</f>
        <v xml:space="preserve"> </v>
      </c>
      <c r="S67" s="1451"/>
      <c r="T67" s="831"/>
      <c r="U67" s="831"/>
      <c r="V67" s="921"/>
      <c r="W67" s="1042"/>
      <c r="Y67" s="770" t="str">
        <f t="shared" si="41"/>
        <v xml:space="preserve"> </v>
      </c>
      <c r="Z67" s="770" t="str">
        <f t="shared" si="38"/>
        <v xml:space="preserve"> </v>
      </c>
      <c r="AA67" s="770" t="str">
        <f t="shared" si="38"/>
        <v xml:space="preserve"> </v>
      </c>
      <c r="AB67" s="770" t="str">
        <f t="shared" si="38"/>
        <v xml:space="preserve"> </v>
      </c>
      <c r="AC67" s="770" t="str">
        <f t="shared" si="38"/>
        <v xml:space="preserve"> </v>
      </c>
      <c r="AD67" s="770" t="str">
        <f t="shared" si="38"/>
        <v xml:space="preserve"> </v>
      </c>
      <c r="AE67" s="770" t="str">
        <f t="shared" si="38"/>
        <v xml:space="preserve"> </v>
      </c>
      <c r="AF67" s="770" t="str">
        <f t="shared" si="39"/>
        <v xml:space="preserve"> </v>
      </c>
      <c r="AG67" s="770" t="str">
        <f t="shared" si="40"/>
        <v xml:space="preserve"> </v>
      </c>
      <c r="AH67" s="770" t="str">
        <f t="shared" si="34"/>
        <v xml:space="preserve"> </v>
      </c>
      <c r="AI67" s="770" t="str">
        <f>IF($Z$51=4,AU68," ")</f>
        <v xml:space="preserve"> </v>
      </c>
      <c r="AJ67" s="800" t="s">
        <v>1067</v>
      </c>
      <c r="AK67" s="329">
        <v>15</v>
      </c>
      <c r="AL67" s="876">
        <v>70</v>
      </c>
      <c r="AM67" s="800" t="s">
        <v>1068</v>
      </c>
      <c r="AN67" s="329">
        <v>30</v>
      </c>
      <c r="AO67" s="876">
        <v>65</v>
      </c>
      <c r="AP67" s="800" t="s">
        <v>1069</v>
      </c>
      <c r="AQ67" s="329">
        <v>15</v>
      </c>
      <c r="AR67" s="947">
        <v>64</v>
      </c>
      <c r="AT67" s="716" t="s">
        <v>34</v>
      </c>
      <c r="AU67" s="912">
        <v>63.73</v>
      </c>
      <c r="AV67" s="909"/>
      <c r="AW67" s="909"/>
      <c r="AY67" s="912"/>
    </row>
    <row r="68" spans="1:68" s="800" customFormat="1" ht="15" customHeight="1" x14ac:dyDescent="0.25">
      <c r="A68" s="835"/>
      <c r="B68" s="725"/>
      <c r="C68" s="831"/>
      <c r="D68" s="918" t="str">
        <f t="shared" si="42"/>
        <v xml:space="preserve"> </v>
      </c>
      <c r="E68" s="919" t="str">
        <f t="shared" si="43"/>
        <v xml:space="preserve"> </v>
      </c>
      <c r="F68" s="920" t="str">
        <f t="shared" si="35"/>
        <v xml:space="preserve"> </v>
      </c>
      <c r="G68" s="918" t="str">
        <f t="shared" si="36"/>
        <v xml:space="preserve"> </v>
      </c>
      <c r="H68" s="919" t="str">
        <f t="shared" si="36"/>
        <v xml:space="preserve"> </v>
      </c>
      <c r="I68" s="920" t="str">
        <f t="shared" si="36"/>
        <v xml:space="preserve"> </v>
      </c>
      <c r="J68" s="918" t="str">
        <f t="shared" si="36"/>
        <v xml:space="preserve"> </v>
      </c>
      <c r="K68" s="919" t="str">
        <f t="shared" si="36"/>
        <v xml:space="preserve"> </v>
      </c>
      <c r="L68" s="920" t="str">
        <f t="shared" si="36"/>
        <v xml:space="preserve"> </v>
      </c>
      <c r="M68" s="908"/>
      <c r="N68" s="716" t="str">
        <f t="shared" si="37"/>
        <v xml:space="preserve"> </v>
      </c>
      <c r="O68" s="831"/>
      <c r="P68" s="909"/>
      <c r="Q68" s="909"/>
      <c r="R68" s="1451" t="str">
        <f>AI67</f>
        <v xml:space="preserve"> </v>
      </c>
      <c r="S68" s="1451"/>
      <c r="T68" s="831"/>
      <c r="U68" s="831"/>
      <c r="V68" s="921"/>
      <c r="W68" s="1042"/>
      <c r="Y68" s="770" t="str">
        <f t="shared" si="41"/>
        <v xml:space="preserve"> </v>
      </c>
      <c r="Z68" s="770" t="str">
        <f t="shared" si="38"/>
        <v xml:space="preserve"> </v>
      </c>
      <c r="AA68" s="770" t="str">
        <f t="shared" si="38"/>
        <v xml:space="preserve"> </v>
      </c>
      <c r="AB68" s="770" t="str">
        <f t="shared" si="38"/>
        <v xml:space="preserve"> </v>
      </c>
      <c r="AC68" s="770" t="str">
        <f t="shared" si="38"/>
        <v xml:space="preserve"> </v>
      </c>
      <c r="AD68" s="770" t="str">
        <f t="shared" si="38"/>
        <v xml:space="preserve"> </v>
      </c>
      <c r="AE68" s="770" t="str">
        <f t="shared" si="38"/>
        <v xml:space="preserve"> </v>
      </c>
      <c r="AF68" s="770" t="str">
        <f t="shared" si="39"/>
        <v xml:space="preserve"> </v>
      </c>
      <c r="AG68" s="770" t="str">
        <f t="shared" si="40"/>
        <v xml:space="preserve"> </v>
      </c>
      <c r="AH68" s="770" t="str">
        <f t="shared" si="34"/>
        <v xml:space="preserve"> </v>
      </c>
      <c r="AI68" s="770" t="str">
        <f>IF($Z$51=4,AU69," ")</f>
        <v xml:space="preserve"> </v>
      </c>
      <c r="AJ68" s="800" t="s">
        <v>1070</v>
      </c>
      <c r="AK68" s="329">
        <v>15</v>
      </c>
      <c r="AL68" s="876">
        <v>76</v>
      </c>
      <c r="AM68" s="800" t="s">
        <v>1071</v>
      </c>
      <c r="AN68" s="329">
        <v>30</v>
      </c>
      <c r="AO68" s="876">
        <v>61</v>
      </c>
      <c r="AP68" s="800" t="s">
        <v>1072</v>
      </c>
      <c r="AQ68" s="329">
        <v>15</v>
      </c>
      <c r="AR68" s="947">
        <v>67</v>
      </c>
      <c r="AT68" s="716" t="s">
        <v>101</v>
      </c>
      <c r="AU68" s="912">
        <v>63.68</v>
      </c>
      <c r="AV68" s="909"/>
      <c r="AW68" s="909"/>
      <c r="AY68" s="912"/>
    </row>
    <row r="69" spans="1:68" s="800" customFormat="1" ht="15" customHeight="1" x14ac:dyDescent="0.25">
      <c r="A69" s="835"/>
      <c r="B69" s="725"/>
      <c r="C69" s="127"/>
      <c r="D69" s="1431" t="str">
        <f>AA69</f>
        <v xml:space="preserve"> </v>
      </c>
      <c r="E69" s="1432"/>
      <c r="F69" s="1433"/>
      <c r="G69" s="1431" t="str">
        <f>AD69</f>
        <v xml:space="preserve"> </v>
      </c>
      <c r="H69" s="1432"/>
      <c r="I69" s="1433"/>
      <c r="J69" s="1431" t="str">
        <f>AG69</f>
        <v xml:space="preserve"> </v>
      </c>
      <c r="K69" s="1432"/>
      <c r="L69" s="1433"/>
      <c r="M69" s="831"/>
      <c r="N69" s="716" t="str">
        <f t="shared" si="37"/>
        <v xml:space="preserve"> </v>
      </c>
      <c r="O69" s="831"/>
      <c r="P69" s="909"/>
      <c r="Q69" s="909"/>
      <c r="R69" s="1451" t="str">
        <f>AI68</f>
        <v xml:space="preserve"> </v>
      </c>
      <c r="S69" s="1451"/>
      <c r="T69" s="831"/>
      <c r="U69" s="831"/>
      <c r="V69" s="921"/>
      <c r="W69" s="1042"/>
      <c r="AA69" s="944" t="str">
        <f t="shared" si="38"/>
        <v xml:space="preserve"> </v>
      </c>
      <c r="AD69" s="944" t="str">
        <f t="shared" si="38"/>
        <v xml:space="preserve"> </v>
      </c>
      <c r="AG69" s="944" t="str">
        <f t="shared" si="40"/>
        <v xml:space="preserve"> </v>
      </c>
      <c r="AK69" s="3"/>
      <c r="AL69" s="3" t="s">
        <v>1077</v>
      </c>
      <c r="AM69" s="3"/>
      <c r="AN69" s="3"/>
      <c r="AO69" s="3" t="s">
        <v>1078</v>
      </c>
      <c r="AR69" s="911" t="s">
        <v>1079</v>
      </c>
      <c r="AT69" s="716" t="s">
        <v>73</v>
      </c>
      <c r="AU69" s="912">
        <v>63.44</v>
      </c>
      <c r="AV69" s="1099">
        <f>AU63-AU69</f>
        <v>3.1200000000000045</v>
      </c>
      <c r="AW69" s="909"/>
      <c r="AY69" s="912"/>
    </row>
    <row r="70" spans="1:68" s="800" customFormat="1" ht="6" customHeight="1" x14ac:dyDescent="0.25">
      <c r="A70" s="835"/>
      <c r="B70" s="725"/>
      <c r="C70" s="127"/>
      <c r="D70" s="913"/>
      <c r="E70" s="913"/>
      <c r="F70" s="913"/>
      <c r="G70" s="913"/>
      <c r="H70" s="913"/>
      <c r="I70" s="913"/>
      <c r="J70" s="913"/>
      <c r="K70" s="913"/>
      <c r="L70" s="913"/>
      <c r="M70" s="831"/>
      <c r="N70" s="716"/>
      <c r="O70" s="831"/>
      <c r="P70" s="909"/>
      <c r="Q70" s="909"/>
      <c r="R70" s="915"/>
      <c r="S70" s="915"/>
      <c r="T70" s="831"/>
      <c r="U70" s="831"/>
      <c r="V70" s="921"/>
      <c r="W70" s="1042"/>
      <c r="AK70" s="3"/>
      <c r="AL70" s="3"/>
      <c r="AM70" s="3"/>
      <c r="AN70" s="3"/>
      <c r="AO70" s="3"/>
      <c r="AP70" s="3"/>
      <c r="AQ70" s="3"/>
      <c r="AR70" s="878"/>
    </row>
    <row r="71" spans="1:68" s="800" customFormat="1" ht="15" customHeight="1" x14ac:dyDescent="0.25">
      <c r="A71" s="835"/>
      <c r="B71" s="831"/>
      <c r="C71" s="1446" t="str">
        <f>Y71</f>
        <v xml:space="preserve"> </v>
      </c>
      <c r="D71" s="1446"/>
      <c r="E71" s="1446"/>
      <c r="F71" s="1446"/>
      <c r="G71" s="1446"/>
      <c r="H71" s="1446"/>
      <c r="I71" s="1446"/>
      <c r="J71" s="1446"/>
      <c r="K71" s="1446"/>
      <c r="L71" s="1446"/>
      <c r="M71" s="1446"/>
      <c r="N71" s="1446"/>
      <c r="O71" s="1446"/>
      <c r="P71" s="1446"/>
      <c r="Q71" s="1446"/>
      <c r="R71" s="1446"/>
      <c r="S71" s="1446"/>
      <c r="T71" s="1446"/>
      <c r="U71" s="831"/>
      <c r="V71" s="921"/>
      <c r="W71" s="1042"/>
      <c r="Y71" s="770" t="str">
        <f>IF($Z$51=4,AJ71," ")</f>
        <v xml:space="preserve"> </v>
      </c>
      <c r="AB71" s="3"/>
      <c r="AJ71" s="914" t="s">
        <v>1132</v>
      </c>
      <c r="AK71" s="3"/>
      <c r="AL71" s="3"/>
      <c r="AM71" s="3"/>
      <c r="AN71" s="3"/>
      <c r="AO71" s="3"/>
      <c r="AP71" s="3"/>
      <c r="AQ71" s="3"/>
      <c r="AR71" s="878"/>
    </row>
    <row r="72" spans="1:68" ht="15" customHeight="1" x14ac:dyDescent="0.25">
      <c r="A72" s="835"/>
      <c r="B72" s="831"/>
      <c r="C72" s="1446"/>
      <c r="D72" s="1446"/>
      <c r="E72" s="1446"/>
      <c r="F72" s="1446"/>
      <c r="G72" s="1446"/>
      <c r="H72" s="1446"/>
      <c r="I72" s="1446"/>
      <c r="J72" s="1446"/>
      <c r="K72" s="1446"/>
      <c r="L72" s="1446"/>
      <c r="M72" s="1446"/>
      <c r="N72" s="1446"/>
      <c r="O72" s="1446"/>
      <c r="P72" s="1446"/>
      <c r="Q72" s="1446"/>
      <c r="R72" s="1446"/>
      <c r="S72" s="1446"/>
      <c r="T72" s="1446"/>
      <c r="U72" s="831"/>
      <c r="V72" s="921"/>
      <c r="W72" s="1042"/>
    </row>
    <row r="73" spans="1:68" ht="15" customHeight="1" x14ac:dyDescent="0.25">
      <c r="A73" s="835"/>
      <c r="B73" s="958"/>
      <c r="C73" s="1447"/>
      <c r="D73" s="1447"/>
      <c r="E73" s="1447"/>
      <c r="F73" s="1447"/>
      <c r="G73" s="1447"/>
      <c r="H73" s="1447"/>
      <c r="I73" s="1447"/>
      <c r="J73" s="1447"/>
      <c r="K73" s="1447"/>
      <c r="L73" s="1447"/>
      <c r="M73" s="1447"/>
      <c r="N73" s="1447"/>
      <c r="O73" s="1447"/>
      <c r="P73" s="1447"/>
      <c r="Q73" s="1447"/>
      <c r="R73" s="1447"/>
      <c r="S73" s="1447"/>
      <c r="T73" s="1447"/>
      <c r="U73" s="958"/>
      <c r="V73" s="921"/>
      <c r="W73" s="1042"/>
      <c r="Y73" s="995">
        <f>Z51</f>
        <v>0</v>
      </c>
      <c r="Z73" s="317">
        <v>1</v>
      </c>
      <c r="AA73" s="317">
        <v>2</v>
      </c>
      <c r="AB73" s="317">
        <v>3</v>
      </c>
      <c r="AC73" s="317">
        <v>4</v>
      </c>
      <c r="AD73" s="317">
        <v>5</v>
      </c>
      <c r="AE73" s="317">
        <v>6</v>
      </c>
      <c r="AF73" s="317">
        <v>7</v>
      </c>
      <c r="AG73" s="317">
        <v>8</v>
      </c>
      <c r="AH73" s="317">
        <v>9</v>
      </c>
      <c r="AI73" s="317">
        <v>10</v>
      </c>
      <c r="AJ73" s="317">
        <v>11</v>
      </c>
      <c r="AK73" s="317">
        <v>12</v>
      </c>
      <c r="AL73" s="317">
        <v>13</v>
      </c>
      <c r="AM73" s="317">
        <v>14</v>
      </c>
      <c r="AN73" s="317">
        <v>15</v>
      </c>
      <c r="AO73" s="317">
        <v>16</v>
      </c>
      <c r="AP73" s="317">
        <v>17</v>
      </c>
      <c r="AQ73" s="317">
        <v>18</v>
      </c>
      <c r="AR73" s="317">
        <v>19</v>
      </c>
      <c r="AS73" s="3"/>
      <c r="AT73" s="996">
        <v>1</v>
      </c>
      <c r="AU73" s="996">
        <f>AT73+1</f>
        <v>2</v>
      </c>
      <c r="AV73" s="996">
        <f t="shared" ref="AV73:BL73" si="44">AU73+1</f>
        <v>3</v>
      </c>
      <c r="AW73" s="996">
        <f t="shared" si="44"/>
        <v>4</v>
      </c>
      <c r="AX73" s="996">
        <f t="shared" si="44"/>
        <v>5</v>
      </c>
      <c r="AY73" s="996">
        <f t="shared" si="44"/>
        <v>6</v>
      </c>
      <c r="AZ73" s="996">
        <f t="shared" si="44"/>
        <v>7</v>
      </c>
      <c r="BA73" s="996">
        <f t="shared" si="44"/>
        <v>8</v>
      </c>
      <c r="BB73" s="996">
        <f t="shared" si="44"/>
        <v>9</v>
      </c>
      <c r="BC73" s="996">
        <f t="shared" si="44"/>
        <v>10</v>
      </c>
      <c r="BD73" s="1000">
        <f t="shared" si="44"/>
        <v>11</v>
      </c>
      <c r="BE73" s="996">
        <f t="shared" si="44"/>
        <v>12</v>
      </c>
      <c r="BF73" s="996">
        <f t="shared" si="44"/>
        <v>13</v>
      </c>
      <c r="BG73" s="996">
        <f t="shared" si="44"/>
        <v>14</v>
      </c>
      <c r="BH73" s="996">
        <f t="shared" si="44"/>
        <v>15</v>
      </c>
      <c r="BI73" s="996">
        <f t="shared" si="44"/>
        <v>16</v>
      </c>
      <c r="BJ73" s="996">
        <f t="shared" si="44"/>
        <v>17</v>
      </c>
      <c r="BK73" s="996">
        <f t="shared" si="44"/>
        <v>18</v>
      </c>
      <c r="BL73" s="996">
        <f t="shared" si="44"/>
        <v>19</v>
      </c>
    </row>
    <row r="74" spans="1:68" s="3" customFormat="1" ht="15" customHeight="1" x14ac:dyDescent="0.25">
      <c r="A74" s="835"/>
      <c r="B74" s="831"/>
      <c r="C74" s="826" t="s">
        <v>1089</v>
      </c>
      <c r="D74" s="725"/>
      <c r="E74" s="725"/>
      <c r="F74" s="725"/>
      <c r="G74" s="725"/>
      <c r="H74" s="725"/>
      <c r="I74" s="725"/>
      <c r="J74" s="725"/>
      <c r="K74" s="725"/>
      <c r="L74" s="725"/>
      <c r="M74" s="725"/>
      <c r="N74" s="725"/>
      <c r="O74" s="725"/>
      <c r="P74" s="725"/>
      <c r="Q74" s="725"/>
      <c r="R74" s="725"/>
      <c r="S74" s="725"/>
      <c r="T74" s="725"/>
      <c r="U74" s="949" t="s">
        <v>1094</v>
      </c>
      <c r="V74" s="921"/>
      <c r="W74" s="1042"/>
      <c r="Y74" s="317">
        <v>4</v>
      </c>
      <c r="Z74" s="999" t="str">
        <f>IF($Y$73=4,AT74," ")</f>
        <v xml:space="preserve"> </v>
      </c>
      <c r="AT74" s="826" t="s">
        <v>1089</v>
      </c>
      <c r="AU74" s="725"/>
      <c r="AV74" s="725"/>
      <c r="AW74" s="725"/>
      <c r="AX74" s="725"/>
      <c r="AY74" s="725"/>
      <c r="AZ74" s="725"/>
      <c r="BA74" s="725"/>
      <c r="BB74" s="725"/>
      <c r="BC74" s="725"/>
      <c r="BD74" s="1001"/>
      <c r="BE74" s="725"/>
      <c r="BF74" s="725"/>
      <c r="BG74" s="725"/>
      <c r="BH74" s="725"/>
      <c r="BI74" s="725"/>
      <c r="BJ74" s="725"/>
      <c r="BK74" s="725"/>
      <c r="BL74" s="949" t="s">
        <v>1094</v>
      </c>
      <c r="BM74" s="800"/>
      <c r="BN74" s="800"/>
      <c r="BO74" s="800"/>
      <c r="BP74" s="800"/>
    </row>
    <row r="75" spans="1:68" s="3" customFormat="1" ht="15" customHeight="1" x14ac:dyDescent="0.25">
      <c r="A75" s="835"/>
      <c r="B75" s="831"/>
      <c r="C75" s="1428" t="str">
        <f>Z75</f>
        <v xml:space="preserve"> </v>
      </c>
      <c r="D75" s="1429"/>
      <c r="E75" s="1429"/>
      <c r="F75" s="1429"/>
      <c r="G75" s="1429"/>
      <c r="H75" s="1429"/>
      <c r="I75" s="1429"/>
      <c r="J75" s="1429"/>
      <c r="K75" s="1429"/>
      <c r="L75" s="1429"/>
      <c r="M75" s="1429"/>
      <c r="N75" s="1429"/>
      <c r="O75" s="1429"/>
      <c r="P75" s="1429"/>
      <c r="Q75" s="1429"/>
      <c r="R75" s="1429"/>
      <c r="S75" s="1429"/>
      <c r="T75" s="1429"/>
      <c r="U75" s="725"/>
      <c r="V75" s="921"/>
      <c r="W75" s="1042"/>
      <c r="Z75" s="999" t="str">
        <f>IF($Y$73=4,AT75," ")</f>
        <v xml:space="preserve"> </v>
      </c>
      <c r="AT75" s="998" t="s">
        <v>1091</v>
      </c>
      <c r="AU75" s="930"/>
      <c r="AV75" s="930"/>
      <c r="AW75" s="930"/>
      <c r="AX75" s="930"/>
      <c r="AY75" s="930"/>
      <c r="AZ75" s="930"/>
      <c r="BA75" s="930"/>
      <c r="BB75" s="930"/>
      <c r="BC75" s="930"/>
      <c r="BD75" s="955"/>
      <c r="BE75" s="930"/>
      <c r="BF75" s="930"/>
      <c r="BG75" s="930"/>
      <c r="BH75" s="930"/>
      <c r="BI75" s="930"/>
      <c r="BJ75" s="930"/>
      <c r="BK75" s="930"/>
      <c r="BL75" s="725"/>
      <c r="BM75" s="800"/>
      <c r="BN75" s="800"/>
      <c r="BO75" s="800"/>
      <c r="BP75" s="800"/>
    </row>
    <row r="76" spans="1:68" s="3" customFormat="1" ht="15" customHeight="1" x14ac:dyDescent="0.25">
      <c r="A76" s="835"/>
      <c r="B76" s="831"/>
      <c r="C76" s="1428"/>
      <c r="D76" s="1429"/>
      <c r="E76" s="1429"/>
      <c r="F76" s="1429"/>
      <c r="G76" s="1429"/>
      <c r="H76" s="1429"/>
      <c r="I76" s="1429"/>
      <c r="J76" s="1429"/>
      <c r="K76" s="1429"/>
      <c r="L76" s="1429"/>
      <c r="M76" s="1429"/>
      <c r="N76" s="1429"/>
      <c r="O76" s="1429"/>
      <c r="P76" s="1429"/>
      <c r="Q76" s="1429"/>
      <c r="R76" s="1429"/>
      <c r="S76" s="1429"/>
      <c r="T76" s="1429"/>
      <c r="U76" s="725"/>
      <c r="V76" s="921"/>
      <c r="W76" s="1042"/>
      <c r="AT76" s="997"/>
      <c r="AU76" s="930"/>
      <c r="AV76" s="930"/>
      <c r="AW76" s="930"/>
      <c r="AX76" s="930"/>
      <c r="AY76" s="930"/>
      <c r="AZ76" s="930"/>
      <c r="BA76" s="930"/>
      <c r="BB76" s="930"/>
      <c r="BC76" s="930"/>
      <c r="BD76" s="955"/>
      <c r="BE76" s="930"/>
      <c r="BF76" s="930"/>
      <c r="BG76" s="930"/>
      <c r="BH76" s="930"/>
      <c r="BI76" s="930"/>
      <c r="BJ76" s="930"/>
      <c r="BK76" s="930"/>
      <c r="BL76" s="725"/>
      <c r="BM76" s="800"/>
      <c r="BN76" s="800"/>
      <c r="BO76" s="800"/>
      <c r="BP76" s="800"/>
    </row>
    <row r="77" spans="1:68" s="3" customFormat="1" ht="15" customHeight="1" x14ac:dyDescent="0.25">
      <c r="A77" s="835"/>
      <c r="B77" s="831"/>
      <c r="C77" s="1428"/>
      <c r="D77" s="1429"/>
      <c r="E77" s="1429"/>
      <c r="F77" s="1429"/>
      <c r="G77" s="1429"/>
      <c r="H77" s="1429"/>
      <c r="I77" s="1429"/>
      <c r="J77" s="1429"/>
      <c r="K77" s="1429"/>
      <c r="L77" s="1429"/>
      <c r="M77" s="1429"/>
      <c r="N77" s="1429"/>
      <c r="O77" s="1429"/>
      <c r="P77" s="1429"/>
      <c r="Q77" s="1429"/>
      <c r="R77" s="1429"/>
      <c r="S77" s="1429"/>
      <c r="T77" s="1429"/>
      <c r="U77" s="725"/>
      <c r="V77" s="921"/>
      <c r="W77" s="1042"/>
      <c r="AC77" s="9"/>
      <c r="AD77" s="9"/>
      <c r="AE77" s="9"/>
      <c r="AF77" s="9"/>
      <c r="AG77" s="9"/>
      <c r="AH77" s="9"/>
      <c r="AI77" s="9"/>
      <c r="AJ77" s="9"/>
      <c r="AK77" s="9"/>
      <c r="AL77" s="9"/>
      <c r="AM77" s="9"/>
      <c r="AN77" s="9"/>
      <c r="AO77" s="9"/>
      <c r="AP77" s="9"/>
      <c r="AQ77" s="9"/>
      <c r="AR77" s="9"/>
      <c r="AS77" s="9"/>
      <c r="AT77" s="997"/>
      <c r="AU77" s="930"/>
      <c r="AV77" s="930"/>
      <c r="AW77" s="930"/>
      <c r="AX77" s="930"/>
      <c r="AY77" s="930"/>
      <c r="AZ77" s="930"/>
      <c r="BA77" s="930"/>
      <c r="BB77" s="930"/>
      <c r="BC77" s="930"/>
      <c r="BD77" s="955"/>
      <c r="BE77" s="930"/>
      <c r="BF77" s="930"/>
      <c r="BG77" s="930"/>
      <c r="BH77" s="930"/>
      <c r="BI77" s="930"/>
      <c r="BJ77" s="930"/>
      <c r="BK77" s="930"/>
      <c r="BL77" s="725"/>
      <c r="BM77" s="800"/>
      <c r="BN77" s="800"/>
      <c r="BO77" s="800"/>
      <c r="BP77" s="800"/>
    </row>
    <row r="78" spans="1:68" s="3" customFormat="1" ht="15" customHeight="1" x14ac:dyDescent="0.25">
      <c r="A78" s="835"/>
      <c r="B78" s="831"/>
      <c r="C78" s="1428"/>
      <c r="D78" s="1429"/>
      <c r="E78" s="1429"/>
      <c r="F78" s="1429"/>
      <c r="G78" s="1429"/>
      <c r="H78" s="1429"/>
      <c r="I78" s="1429"/>
      <c r="J78" s="1429"/>
      <c r="K78" s="1429"/>
      <c r="L78" s="1429"/>
      <c r="M78" s="1429"/>
      <c r="N78" s="1429"/>
      <c r="O78" s="1429"/>
      <c r="P78" s="1429"/>
      <c r="Q78" s="1429"/>
      <c r="R78" s="1429"/>
      <c r="S78" s="1429"/>
      <c r="T78" s="1429"/>
      <c r="U78" s="725"/>
      <c r="V78" s="921"/>
      <c r="W78" s="1042"/>
      <c r="AC78" s="9"/>
      <c r="AD78" s="9"/>
      <c r="AE78" s="9"/>
      <c r="AF78" s="9"/>
      <c r="AG78" s="9"/>
      <c r="AH78" s="9"/>
      <c r="AI78" s="9"/>
      <c r="AJ78" s="9"/>
      <c r="AK78" s="9"/>
      <c r="AL78" s="9"/>
      <c r="AM78" s="9"/>
      <c r="AN78" s="9"/>
      <c r="AO78" s="9"/>
      <c r="AP78" s="9"/>
      <c r="AQ78" s="9"/>
      <c r="AR78" s="9"/>
      <c r="AS78" s="9"/>
      <c r="AT78" s="997"/>
      <c r="AU78" s="930"/>
      <c r="AV78" s="930"/>
      <c r="AW78" s="930"/>
      <c r="AX78" s="930"/>
      <c r="AY78" s="930"/>
      <c r="AZ78" s="930"/>
      <c r="BA78" s="930"/>
      <c r="BB78" s="930"/>
      <c r="BC78" s="930"/>
      <c r="BD78" s="955"/>
      <c r="BE78" s="930"/>
      <c r="BF78" s="930"/>
      <c r="BG78" s="930"/>
      <c r="BH78" s="930"/>
      <c r="BI78" s="930"/>
      <c r="BJ78" s="930"/>
      <c r="BK78" s="930"/>
      <c r="BL78" s="725"/>
      <c r="BM78"/>
      <c r="BN78"/>
      <c r="BO78"/>
      <c r="BP78"/>
    </row>
    <row r="79" spans="1:68" s="3" customFormat="1" ht="15" customHeight="1" x14ac:dyDescent="0.25">
      <c r="A79" s="835"/>
      <c r="B79" s="831"/>
      <c r="C79" s="1428"/>
      <c r="D79" s="1429"/>
      <c r="E79" s="1429"/>
      <c r="F79" s="1429"/>
      <c r="G79" s="1429"/>
      <c r="H79" s="1429"/>
      <c r="I79" s="1429"/>
      <c r="J79" s="1429"/>
      <c r="K79" s="1429"/>
      <c r="L79" s="1429"/>
      <c r="M79" s="1429"/>
      <c r="N79" s="1429"/>
      <c r="O79" s="1429"/>
      <c r="P79" s="1429"/>
      <c r="Q79" s="1429"/>
      <c r="R79" s="1429"/>
      <c r="S79" s="1429"/>
      <c r="T79" s="1429"/>
      <c r="U79" s="725"/>
      <c r="V79" s="921"/>
      <c r="W79" s="1042"/>
      <c r="AC79" s="9"/>
      <c r="AD79" s="9"/>
      <c r="AE79" s="9"/>
      <c r="AF79" s="9"/>
      <c r="AG79" s="9"/>
      <c r="AH79" s="9"/>
      <c r="AI79" s="9"/>
      <c r="AJ79" s="9"/>
      <c r="AK79" s="9"/>
      <c r="AL79" s="9"/>
      <c r="AM79" s="9"/>
      <c r="AN79" s="9"/>
      <c r="AO79" s="9"/>
      <c r="AP79" s="9"/>
      <c r="AQ79" s="9"/>
      <c r="AR79" s="9"/>
      <c r="AS79" s="9"/>
      <c r="AT79" s="997"/>
      <c r="AU79" s="930"/>
      <c r="AV79" s="930"/>
      <c r="AW79" s="930"/>
      <c r="AX79" s="930"/>
      <c r="AY79" s="930"/>
      <c r="AZ79" s="930"/>
      <c r="BA79" s="930"/>
      <c r="BB79" s="930"/>
      <c r="BC79" s="930"/>
      <c r="BD79" s="955"/>
      <c r="BE79" s="930"/>
      <c r="BF79" s="930"/>
      <c r="BG79" s="930"/>
      <c r="BH79" s="930"/>
      <c r="BI79" s="930"/>
      <c r="BJ79" s="930"/>
      <c r="BK79" s="930"/>
      <c r="BL79" s="725"/>
      <c r="BM79" s="800"/>
      <c r="BN79" s="800"/>
      <c r="BO79" s="800"/>
      <c r="BP79" s="800"/>
    </row>
    <row r="80" spans="1:68" s="3" customFormat="1" ht="15" customHeight="1" x14ac:dyDescent="0.25">
      <c r="A80" s="835"/>
      <c r="B80" s="831"/>
      <c r="C80" s="983" t="str">
        <f>Z80</f>
        <v xml:space="preserve"> </v>
      </c>
      <c r="D80" s="930"/>
      <c r="E80" s="930"/>
      <c r="F80" s="930"/>
      <c r="G80" s="930"/>
      <c r="H80" s="930"/>
      <c r="I80" s="930"/>
      <c r="J80" s="930"/>
      <c r="K80" s="930"/>
      <c r="L80" s="930"/>
      <c r="M80" s="930"/>
      <c r="N80" s="930"/>
      <c r="O80" s="930"/>
      <c r="P80" s="930"/>
      <c r="Q80" s="930"/>
      <c r="R80" s="930"/>
      <c r="S80" s="930"/>
      <c r="T80" s="930"/>
      <c r="U80" s="725"/>
      <c r="V80" s="921"/>
      <c r="W80" s="1042"/>
      <c r="Z80" s="999" t="str">
        <f>IF($Y$73=4,AT80," ")</f>
        <v xml:space="preserve"> </v>
      </c>
      <c r="AC80" s="9"/>
      <c r="AD80" s="9"/>
      <c r="AE80" s="9"/>
      <c r="AF80" s="9"/>
      <c r="AG80" s="9"/>
      <c r="AH80" s="9"/>
      <c r="AI80" s="9"/>
      <c r="AJ80" s="9"/>
      <c r="AK80" s="9"/>
      <c r="AL80" s="9"/>
      <c r="AM80" s="9"/>
      <c r="AN80" s="9"/>
      <c r="AO80" s="9"/>
      <c r="AP80" s="9"/>
      <c r="AQ80" s="9"/>
      <c r="AR80" s="9"/>
      <c r="AS80" s="9"/>
      <c r="AT80" s="983" t="s">
        <v>1099</v>
      </c>
      <c r="AU80" s="930"/>
      <c r="AV80" s="930"/>
      <c r="AW80" s="930"/>
      <c r="AX80" s="930"/>
      <c r="AY80" s="930"/>
      <c r="AZ80" s="930"/>
      <c r="BA80" s="930"/>
      <c r="BB80" s="930"/>
      <c r="BC80" s="930"/>
      <c r="BD80" s="955"/>
      <c r="BE80" s="930"/>
      <c r="BF80" s="930"/>
      <c r="BG80" s="930"/>
      <c r="BH80" s="930"/>
      <c r="BI80" s="930"/>
      <c r="BJ80" s="930"/>
      <c r="BK80" s="930"/>
      <c r="BL80" s="725"/>
    </row>
    <row r="81" spans="1:64" s="3" customFormat="1" ht="15" customHeight="1" x14ac:dyDescent="0.25">
      <c r="A81" s="835"/>
      <c r="B81" s="945"/>
      <c r="C81" s="1430" t="str">
        <f>Z81</f>
        <v xml:space="preserve"> </v>
      </c>
      <c r="D81" s="1430"/>
      <c r="E81" s="1430"/>
      <c r="F81" s="1430"/>
      <c r="G81" s="1430"/>
      <c r="H81" s="1430"/>
      <c r="I81" s="1430"/>
      <c r="J81" s="1430"/>
      <c r="K81" s="1430"/>
      <c r="L81" s="1430"/>
      <c r="M81" s="1430"/>
      <c r="N81" s="1430"/>
      <c r="O81" s="1430"/>
      <c r="P81" s="1430"/>
      <c r="Q81" s="1430"/>
      <c r="R81" s="1430"/>
      <c r="S81" s="1430"/>
      <c r="T81" s="1430"/>
      <c r="U81" s="725"/>
      <c r="V81" s="921"/>
      <c r="W81" s="1042"/>
      <c r="Z81" s="999" t="str">
        <f>IF($Y$73=4,AT81," ")</f>
        <v xml:space="preserve"> </v>
      </c>
      <c r="AC81" s="9"/>
      <c r="AD81" s="9"/>
      <c r="AE81" s="9"/>
      <c r="AF81" s="9"/>
      <c r="AG81" s="9"/>
      <c r="AH81" s="9"/>
      <c r="AI81" s="9"/>
      <c r="AJ81" s="38"/>
      <c r="AK81" s="9"/>
      <c r="AL81" s="9"/>
      <c r="AM81" s="9"/>
      <c r="AN81" s="38"/>
      <c r="AO81" s="9"/>
      <c r="AP81" s="9"/>
      <c r="AQ81" s="9"/>
      <c r="AR81" s="38"/>
      <c r="AS81" s="9"/>
      <c r="AT81" s="165" t="s">
        <v>1105</v>
      </c>
      <c r="AU81" s="165"/>
      <c r="AV81" s="165"/>
      <c r="AW81" s="165"/>
      <c r="AX81" s="165"/>
      <c r="AY81" s="165"/>
      <c r="AZ81" s="165"/>
      <c r="BA81" s="165"/>
      <c r="BB81" s="165"/>
      <c r="BC81" s="165"/>
      <c r="BD81" s="190"/>
      <c r="BE81" s="165"/>
      <c r="BF81" s="165"/>
      <c r="BG81" s="165"/>
      <c r="BH81" s="165"/>
      <c r="BI81" s="165"/>
      <c r="BJ81" s="165"/>
      <c r="BK81" s="165"/>
      <c r="BL81" s="725"/>
    </row>
    <row r="82" spans="1:64" s="3" customFormat="1" ht="15" customHeight="1" x14ac:dyDescent="0.25">
      <c r="A82" s="835"/>
      <c r="B82" s="945"/>
      <c r="C82" s="1430"/>
      <c r="D82" s="1430"/>
      <c r="E82" s="1430"/>
      <c r="F82" s="1430"/>
      <c r="G82" s="1430"/>
      <c r="H82" s="1430"/>
      <c r="I82" s="1430"/>
      <c r="J82" s="1430"/>
      <c r="K82" s="1430"/>
      <c r="L82" s="1430"/>
      <c r="M82" s="1430"/>
      <c r="N82" s="1430"/>
      <c r="O82" s="1430"/>
      <c r="P82" s="1430"/>
      <c r="Q82" s="1430"/>
      <c r="R82" s="1430"/>
      <c r="S82" s="1430"/>
      <c r="T82" s="1430"/>
      <c r="U82" s="725"/>
      <c r="V82" s="921"/>
      <c r="W82" s="1042"/>
      <c r="AC82" s="9"/>
      <c r="AD82" s="9"/>
      <c r="AE82" s="9"/>
      <c r="AF82" s="9"/>
      <c r="AG82" s="9"/>
      <c r="AH82" s="9"/>
      <c r="AI82" s="9"/>
      <c r="AJ82" s="9"/>
      <c r="AK82" s="277"/>
      <c r="AL82" s="940"/>
      <c r="AM82" s="378"/>
      <c r="AN82" s="9"/>
      <c r="AO82" s="277"/>
      <c r="AP82" s="940"/>
      <c r="AQ82" s="378"/>
      <c r="AR82" s="9"/>
      <c r="AS82" s="277"/>
      <c r="AT82" s="165"/>
      <c r="AU82" s="165"/>
      <c r="AV82" s="165"/>
      <c r="AW82" s="165"/>
      <c r="AX82" s="165"/>
      <c r="AY82" s="165"/>
      <c r="AZ82" s="165"/>
      <c r="BA82" s="165"/>
      <c r="BB82" s="165"/>
      <c r="BC82" s="165"/>
      <c r="BD82" s="190"/>
      <c r="BE82" s="165"/>
      <c r="BF82" s="165"/>
      <c r="BG82" s="165"/>
      <c r="BH82" s="165"/>
      <c r="BI82" s="165"/>
      <c r="BJ82" s="165"/>
      <c r="BK82" s="165"/>
      <c r="BL82" s="725"/>
    </row>
    <row r="83" spans="1:64" s="3" customFormat="1" ht="15" customHeight="1" x14ac:dyDescent="0.25">
      <c r="A83" s="835"/>
      <c r="B83" s="945"/>
      <c r="C83" s="1430"/>
      <c r="D83" s="1430"/>
      <c r="E83" s="1430"/>
      <c r="F83" s="1430"/>
      <c r="G83" s="1430"/>
      <c r="H83" s="1430"/>
      <c r="I83" s="1430"/>
      <c r="J83" s="1430"/>
      <c r="K83" s="1430"/>
      <c r="L83" s="1430"/>
      <c r="M83" s="1430"/>
      <c r="N83" s="1430"/>
      <c r="O83" s="1430"/>
      <c r="P83" s="1430"/>
      <c r="Q83" s="1430"/>
      <c r="R83" s="1430"/>
      <c r="S83" s="1430"/>
      <c r="T83" s="1430"/>
      <c r="U83" s="725"/>
      <c r="V83" s="921"/>
      <c r="W83" s="1042"/>
      <c r="AC83" s="9"/>
      <c r="AD83" s="9"/>
      <c r="AE83" s="9"/>
      <c r="AF83" s="9"/>
      <c r="AG83" s="9"/>
      <c r="AH83" s="9"/>
      <c r="AI83" s="9"/>
      <c r="AJ83" s="9"/>
      <c r="AK83" s="277"/>
      <c r="AL83" s="940"/>
      <c r="AM83" s="378"/>
      <c r="AN83" s="9"/>
      <c r="AO83" s="277"/>
      <c r="AP83" s="940"/>
      <c r="AQ83" s="378"/>
      <c r="AR83" s="9"/>
      <c r="AS83" s="277"/>
      <c r="AT83" s="165"/>
      <c r="AU83" s="165"/>
      <c r="AV83" s="165"/>
      <c r="AW83" s="165"/>
      <c r="AX83" s="165"/>
      <c r="AY83" s="165"/>
      <c r="AZ83" s="165"/>
      <c r="BA83" s="165"/>
      <c r="BB83" s="165"/>
      <c r="BC83" s="165"/>
      <c r="BD83" s="190"/>
      <c r="BE83" s="165"/>
      <c r="BF83" s="165"/>
      <c r="BG83" s="165"/>
      <c r="BH83" s="165"/>
      <c r="BI83" s="165"/>
      <c r="BJ83" s="165"/>
      <c r="BK83" s="165"/>
      <c r="BL83" s="725"/>
    </row>
    <row r="84" spans="1:64" s="3" customFormat="1" ht="15" customHeight="1" x14ac:dyDescent="0.25">
      <c r="A84" s="835"/>
      <c r="B84" s="945"/>
      <c r="C84" s="1430"/>
      <c r="D84" s="1430"/>
      <c r="E84" s="1430"/>
      <c r="F84" s="1430"/>
      <c r="G84" s="1430"/>
      <c r="H84" s="1430"/>
      <c r="I84" s="1430"/>
      <c r="J84" s="1430"/>
      <c r="K84" s="1430"/>
      <c r="L84" s="1430"/>
      <c r="M84" s="1430"/>
      <c r="N84" s="1430"/>
      <c r="O84" s="1430"/>
      <c r="P84" s="1430"/>
      <c r="Q84" s="1430"/>
      <c r="R84" s="1430"/>
      <c r="S84" s="1430"/>
      <c r="T84" s="1430"/>
      <c r="U84" s="725"/>
      <c r="V84" s="921"/>
      <c r="W84" s="1042"/>
      <c r="AC84" s="9"/>
      <c r="AD84" s="9"/>
      <c r="AE84" s="9"/>
      <c r="AF84" s="9"/>
      <c r="AG84" s="9"/>
      <c r="AH84" s="9"/>
      <c r="AI84" s="9"/>
      <c r="AJ84" s="9"/>
      <c r="AK84" s="277"/>
      <c r="AL84" s="940"/>
      <c r="AM84" s="378"/>
      <c r="AN84" s="9"/>
      <c r="AO84" s="277"/>
      <c r="AP84" s="940"/>
      <c r="AQ84" s="378"/>
      <c r="AR84" s="9"/>
      <c r="AS84" s="277"/>
      <c r="AT84" s="165"/>
      <c r="AU84" s="165"/>
      <c r="AV84" s="165"/>
      <c r="AW84" s="165"/>
      <c r="AX84" s="165"/>
      <c r="AY84" s="165"/>
      <c r="AZ84" s="165"/>
      <c r="BA84" s="165"/>
      <c r="BB84" s="165"/>
      <c r="BC84" s="165"/>
      <c r="BD84" s="190"/>
      <c r="BE84" s="165"/>
      <c r="BF84" s="165"/>
      <c r="BG84" s="165"/>
      <c r="BH84" s="165"/>
      <c r="BI84" s="165"/>
      <c r="BJ84" s="165"/>
      <c r="BK84" s="165"/>
      <c r="BL84" s="725"/>
    </row>
    <row r="85" spans="1:64" s="3" customFormat="1" ht="15" customHeight="1" x14ac:dyDescent="0.25">
      <c r="A85" s="835"/>
      <c r="B85" s="945"/>
      <c r="C85" s="933"/>
      <c r="D85" s="929"/>
      <c r="E85" s="929"/>
      <c r="F85" s="929"/>
      <c r="G85" s="929"/>
      <c r="H85" s="929"/>
      <c r="I85" s="929"/>
      <c r="J85" s="929"/>
      <c r="K85" s="929"/>
      <c r="L85" s="929"/>
      <c r="M85" s="929"/>
      <c r="N85" s="929"/>
      <c r="O85" s="929"/>
      <c r="P85" s="929"/>
      <c r="Q85" s="929"/>
      <c r="R85" s="929"/>
      <c r="S85" s="929"/>
      <c r="T85" s="929"/>
      <c r="U85" s="725"/>
      <c r="V85" s="921"/>
      <c r="W85" s="1042"/>
      <c r="Y85" s="328"/>
      <c r="Z85" s="328"/>
      <c r="AA85" s="1009"/>
      <c r="AC85" s="9"/>
      <c r="AD85" s="9"/>
      <c r="AE85" s="317"/>
      <c r="AF85" s="41"/>
      <c r="AG85" s="41"/>
      <c r="AH85" s="41"/>
      <c r="AI85" s="9"/>
      <c r="AJ85" s="9"/>
      <c r="AK85" s="9"/>
      <c r="AL85" s="277"/>
      <c r="AM85" s="940"/>
      <c r="AN85" s="378"/>
      <c r="AO85" s="9"/>
      <c r="AP85" s="277"/>
      <c r="AQ85" s="940"/>
      <c r="AR85" s="378"/>
      <c r="AS85" s="9"/>
      <c r="AT85" s="933"/>
      <c r="AU85" s="929"/>
      <c r="AV85" s="929"/>
      <c r="AW85" s="929"/>
      <c r="AX85" s="929"/>
      <c r="AY85" s="929"/>
      <c r="AZ85" s="929"/>
      <c r="BA85" s="929"/>
      <c r="BB85" s="929"/>
      <c r="BC85" s="929"/>
      <c r="BD85" s="956"/>
      <c r="BE85" s="929"/>
      <c r="BF85" s="929"/>
      <c r="BG85" s="929"/>
      <c r="BH85" s="929"/>
      <c r="BI85" s="929"/>
      <c r="BJ85" s="929"/>
      <c r="BK85" s="929"/>
      <c r="BL85" s="725"/>
    </row>
    <row r="86" spans="1:64" s="3" customFormat="1" ht="15" customHeight="1" x14ac:dyDescent="0.25">
      <c r="A86" s="835"/>
      <c r="B86" s="945"/>
      <c r="C86" s="725"/>
      <c r="D86" s="40" t="str">
        <f>AA86</f>
        <v xml:space="preserve"> </v>
      </c>
      <c r="E86" s="951"/>
      <c r="F86" s="951"/>
      <c r="G86" s="951"/>
      <c r="H86" s="380"/>
      <c r="I86" s="380"/>
      <c r="J86" s="380"/>
      <c r="K86" s="380"/>
      <c r="L86" s="380"/>
      <c r="M86" s="4" t="str">
        <f>AJ86</f>
        <v xml:space="preserve"> </v>
      </c>
      <c r="N86" s="380"/>
      <c r="O86" s="380"/>
      <c r="P86" s="380"/>
      <c r="Q86" s="380"/>
      <c r="R86" s="380"/>
      <c r="S86" s="380"/>
      <c r="T86" s="725"/>
      <c r="U86" s="725"/>
      <c r="V86" s="921"/>
      <c r="W86" s="1042"/>
      <c r="X86" s="8"/>
      <c r="Y86" s="8"/>
      <c r="Z86" s="8"/>
      <c r="AA86" s="999" t="str">
        <f t="shared" ref="AA86:AA93" si="45">IF($Y$73=4,AU86," ")</f>
        <v xml:space="preserve"> </v>
      </c>
      <c r="AB86" s="960"/>
      <c r="AC86" s="1003"/>
      <c r="AD86" s="1003"/>
      <c r="AE86" s="38"/>
      <c r="AF86" s="38"/>
      <c r="AG86" s="38"/>
      <c r="AH86" s="628"/>
      <c r="AI86" s="9"/>
      <c r="AJ86" s="999" t="str">
        <f t="shared" ref="AJ86:AJ93" si="46">IF($Y$73=4,BD86," ")</f>
        <v xml:space="preserve"> </v>
      </c>
      <c r="AK86" s="960"/>
      <c r="AL86" s="1003"/>
      <c r="AM86" s="1003"/>
      <c r="AN86" s="38"/>
      <c r="AO86" s="38"/>
      <c r="AP86" s="38"/>
      <c r="AQ86" s="940"/>
      <c r="AR86" s="378"/>
      <c r="AS86" s="9"/>
      <c r="AT86" s="725"/>
      <c r="AU86" s="40" t="s">
        <v>1092</v>
      </c>
      <c r="AV86" s="951"/>
      <c r="AW86" s="951"/>
      <c r="AX86" s="951"/>
      <c r="AY86" s="380"/>
      <c r="AZ86" s="380"/>
      <c r="BA86" s="380"/>
      <c r="BB86" s="380"/>
      <c r="BC86" s="380"/>
      <c r="BD86" s="1002" t="s">
        <v>1088</v>
      </c>
      <c r="BE86" s="380"/>
      <c r="BF86" s="380"/>
      <c r="BG86" s="380"/>
      <c r="BH86" s="380"/>
      <c r="BI86" s="380"/>
      <c r="BJ86" s="380"/>
      <c r="BK86" s="725"/>
      <c r="BL86" s="725"/>
    </row>
    <row r="87" spans="1:64" s="3" customFormat="1" ht="15" customHeight="1" x14ac:dyDescent="0.25">
      <c r="A87" s="835"/>
      <c r="B87" s="945"/>
      <c r="C87" s="725"/>
      <c r="D87" s="40" t="str">
        <f>AA87</f>
        <v xml:space="preserve"> </v>
      </c>
      <c r="E87" s="40" t="str">
        <f t="shared" ref="E87:G87" si="47">AB87</f>
        <v xml:space="preserve"> </v>
      </c>
      <c r="F87" s="40" t="str">
        <f t="shared" si="47"/>
        <v xml:space="preserve"> </v>
      </c>
      <c r="G87" s="40" t="str">
        <f t="shared" si="47"/>
        <v xml:space="preserve"> </v>
      </c>
      <c r="H87" s="380"/>
      <c r="I87" s="380"/>
      <c r="J87" s="380"/>
      <c r="K87" s="380"/>
      <c r="L87" s="380"/>
      <c r="M87" s="40" t="str">
        <f>AJ87</f>
        <v xml:space="preserve"> </v>
      </c>
      <c r="N87" s="40" t="str">
        <f t="shared" ref="N87:P87" si="48">AK87</f>
        <v xml:space="preserve"> </v>
      </c>
      <c r="O87" s="40" t="str">
        <f t="shared" si="48"/>
        <v xml:space="preserve"> </v>
      </c>
      <c r="P87" s="40" t="str">
        <f t="shared" si="48"/>
        <v xml:space="preserve"> </v>
      </c>
      <c r="Q87" s="126"/>
      <c r="R87" s="380"/>
      <c r="S87" s="380"/>
      <c r="T87" s="725"/>
      <c r="U87" s="725"/>
      <c r="V87" s="921"/>
      <c r="W87" s="1042"/>
      <c r="X87" s="8"/>
      <c r="Y87" s="277"/>
      <c r="Z87" s="378"/>
      <c r="AA87" s="999" t="str">
        <f t="shared" si="45"/>
        <v xml:space="preserve"> </v>
      </c>
      <c r="AB87" s="1007" t="str">
        <f t="shared" ref="AB87:AD94" si="49">IF($Y$73=4,AV87," ")</f>
        <v xml:space="preserve"> </v>
      </c>
      <c r="AC87" s="1007" t="str">
        <f t="shared" si="49"/>
        <v xml:space="preserve"> </v>
      </c>
      <c r="AD87" s="1007" t="str">
        <f t="shared" si="49"/>
        <v xml:space="preserve"> </v>
      </c>
      <c r="AE87" s="436"/>
      <c r="AF87" s="503"/>
      <c r="AG87" s="1004"/>
      <c r="AI87" s="9"/>
      <c r="AJ87" s="999" t="str">
        <f t="shared" si="46"/>
        <v xml:space="preserve"> </v>
      </c>
      <c r="AK87" s="1007" t="str">
        <f t="shared" ref="AK87:AM93" si="50">IF($Y$73=4,BE87," ")</f>
        <v xml:space="preserve"> </v>
      </c>
      <c r="AL87" s="1007" t="str">
        <f t="shared" si="50"/>
        <v xml:space="preserve"> </v>
      </c>
      <c r="AM87" s="1007" t="str">
        <f t="shared" si="50"/>
        <v xml:space="preserve"> </v>
      </c>
      <c r="AN87" s="436"/>
      <c r="AO87" s="503"/>
      <c r="AP87" s="1004"/>
      <c r="AQ87" s="940"/>
      <c r="AR87" s="378"/>
      <c r="AS87" s="9"/>
      <c r="AT87" s="725"/>
      <c r="AU87" s="40" t="s">
        <v>15</v>
      </c>
      <c r="AV87" s="40" t="s">
        <v>575</v>
      </c>
      <c r="AW87" s="40" t="s">
        <v>555</v>
      </c>
      <c r="AX87" s="936" t="s">
        <v>1095</v>
      </c>
      <c r="AY87" s="380"/>
      <c r="AZ87" s="380"/>
      <c r="BA87" s="380"/>
      <c r="BB87" s="380"/>
      <c r="BC87" s="380"/>
      <c r="BD87" s="347" t="s">
        <v>15</v>
      </c>
      <c r="BE87" s="40" t="s">
        <v>575</v>
      </c>
      <c r="BF87" s="40" t="s">
        <v>555</v>
      </c>
      <c r="BG87" s="936" t="s">
        <v>1095</v>
      </c>
      <c r="BH87" s="126"/>
      <c r="BI87" s="380"/>
      <c r="BJ87" s="380"/>
      <c r="BK87" s="725"/>
      <c r="BL87" s="725"/>
    </row>
    <row r="88" spans="1:64" s="3" customFormat="1" ht="15" customHeight="1" x14ac:dyDescent="0.25">
      <c r="A88" s="835"/>
      <c r="B88" s="945"/>
      <c r="C88" s="725"/>
      <c r="D88" s="951" t="str">
        <f>AA88</f>
        <v xml:space="preserve"> </v>
      </c>
      <c r="E88" s="373" t="str">
        <f>AB88</f>
        <v xml:space="preserve"> </v>
      </c>
      <c r="F88" s="517" t="str">
        <f>AC88</f>
        <v xml:space="preserve"> </v>
      </c>
      <c r="G88" s="965" t="str">
        <f>AD88</f>
        <v xml:space="preserve"> </v>
      </c>
      <c r="H88" s="380"/>
      <c r="I88" s="380"/>
      <c r="J88" s="380"/>
      <c r="K88" s="380"/>
      <c r="L88" s="380"/>
      <c r="M88" s="801" t="str">
        <f>AJ88</f>
        <v xml:space="preserve"> </v>
      </c>
      <c r="N88" s="373" t="str">
        <f>AK88</f>
        <v xml:space="preserve"> </v>
      </c>
      <c r="O88" s="517" t="str">
        <f>AL88</f>
        <v xml:space="preserve"> </v>
      </c>
      <c r="P88" s="965" t="str">
        <f>AM88</f>
        <v xml:space="preserve"> </v>
      </c>
      <c r="Q88" s="126"/>
      <c r="R88" s="380"/>
      <c r="S88" s="380"/>
      <c r="T88" s="725"/>
      <c r="U88" s="725"/>
      <c r="V88" s="921"/>
      <c r="W88" s="1042"/>
      <c r="Y88" s="277"/>
      <c r="Z88" s="378"/>
      <c r="AA88" s="999" t="str">
        <f t="shared" si="45"/>
        <v xml:space="preserve"> </v>
      </c>
      <c r="AB88" s="1007" t="str">
        <f t="shared" si="49"/>
        <v xml:space="preserve"> </v>
      </c>
      <c r="AC88" s="1007" t="str">
        <f t="shared" si="49"/>
        <v xml:space="preserve"> </v>
      </c>
      <c r="AD88" s="1007" t="str">
        <f t="shared" si="49"/>
        <v xml:space="preserve"> </v>
      </c>
      <c r="AE88" s="436"/>
      <c r="AF88" s="503"/>
      <c r="AG88" s="1004"/>
      <c r="AI88" s="9"/>
      <c r="AJ88" s="999" t="str">
        <f t="shared" si="46"/>
        <v xml:space="preserve"> </v>
      </c>
      <c r="AK88" s="1007" t="str">
        <f t="shared" si="50"/>
        <v xml:space="preserve"> </v>
      </c>
      <c r="AL88" s="1007" t="str">
        <f t="shared" si="50"/>
        <v xml:space="preserve"> </v>
      </c>
      <c r="AM88" s="1007" t="str">
        <f t="shared" si="50"/>
        <v xml:space="preserve"> </v>
      </c>
      <c r="AN88" s="436"/>
      <c r="AO88" s="503"/>
      <c r="AP88" s="1004"/>
      <c r="AQ88" s="9"/>
      <c r="AR88" s="378"/>
      <c r="AS88" s="9"/>
      <c r="AT88" s="725"/>
      <c r="AU88" s="951" t="s">
        <v>1057</v>
      </c>
      <c r="AV88" s="373">
        <v>30</v>
      </c>
      <c r="AW88" s="517">
        <v>66</v>
      </c>
      <c r="AX88" s="965">
        <v>1980</v>
      </c>
      <c r="AY88" s="380"/>
      <c r="AZ88" s="380"/>
      <c r="BA88" s="380"/>
      <c r="BB88" s="380"/>
      <c r="BC88" s="380"/>
      <c r="BD88" s="934" t="s">
        <v>1057</v>
      </c>
      <c r="BE88" s="373">
        <v>30</v>
      </c>
      <c r="BF88" s="517">
        <v>63</v>
      </c>
      <c r="BG88" s="965">
        <v>1890</v>
      </c>
      <c r="BH88" s="126"/>
      <c r="BI88" s="380"/>
      <c r="BJ88" s="380"/>
      <c r="BK88" s="725"/>
      <c r="BL88" s="725"/>
    </row>
    <row r="89" spans="1:64" s="3" customFormat="1" ht="15" customHeight="1" x14ac:dyDescent="0.25">
      <c r="A89" s="835"/>
      <c r="B89" s="945"/>
      <c r="C89" s="725"/>
      <c r="D89" s="951" t="str">
        <f t="shared" ref="D89:D93" si="51">AA89</f>
        <v xml:space="preserve"> </v>
      </c>
      <c r="E89" s="373" t="str">
        <f t="shared" ref="E89:E94" si="52">AB89</f>
        <v xml:space="preserve"> </v>
      </c>
      <c r="F89" s="517" t="str">
        <f t="shared" ref="F89:F93" si="53">AC89</f>
        <v xml:space="preserve"> </v>
      </c>
      <c r="G89" s="966" t="str">
        <f t="shared" ref="G89:G95" si="54">AD89</f>
        <v xml:space="preserve"> </v>
      </c>
      <c r="H89" s="380"/>
      <c r="I89" s="1422" t="str">
        <f>AF89</f>
        <v xml:space="preserve"> </v>
      </c>
      <c r="J89" s="1422"/>
      <c r="K89" s="1422"/>
      <c r="L89" s="380"/>
      <c r="M89" s="801" t="str">
        <f t="shared" ref="M89:M93" si="55">AJ89</f>
        <v xml:space="preserve"> </v>
      </c>
      <c r="N89" s="373" t="str">
        <f t="shared" ref="N89:N94" si="56">AK89</f>
        <v xml:space="preserve"> </v>
      </c>
      <c r="O89" s="517" t="str">
        <f t="shared" ref="O89:O93" si="57">AL89</f>
        <v xml:space="preserve"> </v>
      </c>
      <c r="P89" s="966" t="str">
        <f>AM89</f>
        <v xml:space="preserve"> </v>
      </c>
      <c r="Q89" s="126"/>
      <c r="R89" s="1422" t="str">
        <f>AO89</f>
        <v xml:space="preserve"> </v>
      </c>
      <c r="S89" s="1422"/>
      <c r="T89" s="1422"/>
      <c r="U89" s="725"/>
      <c r="V89" s="921"/>
      <c r="W89" s="1042"/>
      <c r="Y89" s="277"/>
      <c r="Z89" s="378"/>
      <c r="AA89" s="999" t="str">
        <f t="shared" si="45"/>
        <v xml:space="preserve"> </v>
      </c>
      <c r="AB89" s="1007" t="str">
        <f t="shared" si="49"/>
        <v xml:space="preserve"> </v>
      </c>
      <c r="AC89" s="1007" t="str">
        <f t="shared" si="49"/>
        <v xml:space="preserve"> </v>
      </c>
      <c r="AD89" s="1007" t="str">
        <f t="shared" si="49"/>
        <v xml:space="preserve"> </v>
      </c>
      <c r="AE89" s="436"/>
      <c r="AF89" s="1018" t="str">
        <f>IF($Y$73=4,AF90," ")</f>
        <v xml:space="preserve"> </v>
      </c>
      <c r="AG89" s="1004"/>
      <c r="AI89" s="9"/>
      <c r="AJ89" s="999" t="str">
        <f t="shared" si="46"/>
        <v xml:space="preserve"> </v>
      </c>
      <c r="AK89" s="1007" t="str">
        <f t="shared" si="50"/>
        <v xml:space="preserve"> </v>
      </c>
      <c r="AL89" s="1007" t="str">
        <f t="shared" si="50"/>
        <v xml:space="preserve"> </v>
      </c>
      <c r="AM89" s="1007" t="str">
        <f t="shared" si="50"/>
        <v xml:space="preserve"> </v>
      </c>
      <c r="AN89" s="436"/>
      <c r="AO89" s="1018" t="str">
        <f>IF($Y$73=4,AO90," ")</f>
        <v xml:space="preserve"> </v>
      </c>
      <c r="AP89" s="1004"/>
      <c r="AQ89" s="941"/>
      <c r="AR89" s="378"/>
      <c r="AS89" s="9"/>
      <c r="AT89" s="725"/>
      <c r="AU89" s="951" t="s">
        <v>1060</v>
      </c>
      <c r="AV89" s="373">
        <v>30</v>
      </c>
      <c r="AW89" s="517">
        <v>71</v>
      </c>
      <c r="AX89" s="966">
        <v>2130</v>
      </c>
      <c r="AY89" s="380"/>
      <c r="AZ89" s="380"/>
      <c r="BA89" s="380"/>
      <c r="BB89" s="380"/>
      <c r="BC89" s="380"/>
      <c r="BD89" s="934" t="s">
        <v>1069</v>
      </c>
      <c r="BE89" s="373">
        <v>15</v>
      </c>
      <c r="BF89" s="517">
        <v>64</v>
      </c>
      <c r="BG89" s="966">
        <v>960</v>
      </c>
      <c r="BH89" s="126"/>
      <c r="BI89" s="380"/>
      <c r="BJ89" s="380"/>
      <c r="BK89" s="725"/>
      <c r="BL89" s="725"/>
    </row>
    <row r="90" spans="1:64" s="3" customFormat="1" ht="15" customHeight="1" x14ac:dyDescent="0.25">
      <c r="A90" s="835"/>
      <c r="B90" s="945"/>
      <c r="C90" s="725"/>
      <c r="D90" s="951" t="str">
        <f t="shared" si="51"/>
        <v xml:space="preserve"> </v>
      </c>
      <c r="E90" s="373" t="str">
        <f t="shared" si="52"/>
        <v xml:space="preserve"> </v>
      </c>
      <c r="F90" s="517" t="str">
        <f t="shared" si="53"/>
        <v xml:space="preserve"> </v>
      </c>
      <c r="G90" s="966" t="str">
        <f t="shared" si="54"/>
        <v xml:space="preserve"> </v>
      </c>
      <c r="H90" s="380"/>
      <c r="I90" s="1422"/>
      <c r="J90" s="1422"/>
      <c r="K90" s="1422"/>
      <c r="L90" s="380"/>
      <c r="M90" s="801" t="str">
        <f t="shared" si="55"/>
        <v xml:space="preserve"> </v>
      </c>
      <c r="N90" s="373" t="str">
        <f t="shared" si="56"/>
        <v xml:space="preserve"> </v>
      </c>
      <c r="O90" s="517" t="str">
        <f t="shared" si="57"/>
        <v xml:space="preserve"> </v>
      </c>
      <c r="P90" s="966" t="str">
        <f t="shared" ref="P90:P95" si="58">AM90</f>
        <v xml:space="preserve"> </v>
      </c>
      <c r="Q90" s="126"/>
      <c r="R90" s="1422"/>
      <c r="S90" s="1422"/>
      <c r="T90" s="1422"/>
      <c r="U90" s="725"/>
      <c r="V90" s="921"/>
      <c r="W90" s="1042"/>
      <c r="Y90" s="277" t="s">
        <v>1120</v>
      </c>
      <c r="Z90" s="378"/>
      <c r="AA90" s="999" t="str">
        <f t="shared" si="45"/>
        <v xml:space="preserve"> </v>
      </c>
      <c r="AB90" s="1007" t="str">
        <f t="shared" si="49"/>
        <v xml:space="preserve"> </v>
      </c>
      <c r="AC90" s="1007" t="str">
        <f t="shared" si="49"/>
        <v xml:space="preserve"> </v>
      </c>
      <c r="AD90" s="1007" t="str">
        <f t="shared" si="49"/>
        <v xml:space="preserve"> </v>
      </c>
      <c r="AE90" s="436"/>
      <c r="AF90" s="1017" t="str">
        <f>IF(AH91&gt;7,AZ90," ")</f>
        <v xml:space="preserve"> </v>
      </c>
      <c r="AG90" s="1004"/>
      <c r="AI90" s="9"/>
      <c r="AJ90" s="999" t="str">
        <f t="shared" si="46"/>
        <v xml:space="preserve"> </v>
      </c>
      <c r="AK90" s="1007" t="str">
        <f t="shared" si="50"/>
        <v xml:space="preserve"> </v>
      </c>
      <c r="AL90" s="1007" t="str">
        <f t="shared" si="50"/>
        <v xml:space="preserve"> </v>
      </c>
      <c r="AM90" s="1007" t="str">
        <f t="shared" si="50"/>
        <v xml:space="preserve"> </v>
      </c>
      <c r="AN90" s="436"/>
      <c r="AO90" s="1017" t="str">
        <f>IF(AQ91&gt;7,BI90," ")</f>
        <v xml:space="preserve"> </v>
      </c>
      <c r="AP90" s="1004"/>
      <c r="AQ90" s="9"/>
      <c r="AR90" s="9"/>
      <c r="AS90" s="9"/>
      <c r="AT90" s="725"/>
      <c r="AU90" s="951" t="s">
        <v>1063</v>
      </c>
      <c r="AV90" s="373">
        <v>15</v>
      </c>
      <c r="AW90" s="517">
        <v>74</v>
      </c>
      <c r="AX90" s="966">
        <v>1110</v>
      </c>
      <c r="AY90" s="380"/>
      <c r="AZ90" s="1010" t="s">
        <v>1283</v>
      </c>
      <c r="BA90" s="380"/>
      <c r="BB90" s="380"/>
      <c r="BC90" s="380"/>
      <c r="BD90" s="934" t="s">
        <v>1060</v>
      </c>
      <c r="BE90" s="373">
        <v>30</v>
      </c>
      <c r="BF90" s="517">
        <v>64</v>
      </c>
      <c r="BG90" s="966">
        <v>1920</v>
      </c>
      <c r="BH90" s="126"/>
      <c r="BI90" s="1010" t="s">
        <v>1282</v>
      </c>
      <c r="BJ90" s="380"/>
      <c r="BK90" s="725"/>
      <c r="BL90" s="725"/>
    </row>
    <row r="91" spans="1:64" s="3" customFormat="1" ht="15" customHeight="1" x14ac:dyDescent="0.25">
      <c r="A91" s="835"/>
      <c r="B91" s="945"/>
      <c r="C91" s="725"/>
      <c r="D91" s="951" t="str">
        <f t="shared" si="51"/>
        <v xml:space="preserve"> </v>
      </c>
      <c r="E91" s="373" t="str">
        <f t="shared" si="52"/>
        <v xml:space="preserve"> </v>
      </c>
      <c r="F91" s="517" t="str">
        <f t="shared" si="53"/>
        <v xml:space="preserve"> </v>
      </c>
      <c r="G91" s="966" t="str">
        <f t="shared" si="54"/>
        <v xml:space="preserve"> </v>
      </c>
      <c r="H91" s="380"/>
      <c r="I91" s="1422"/>
      <c r="J91" s="1422"/>
      <c r="K91" s="1422"/>
      <c r="L91" s="380"/>
      <c r="M91" s="801" t="str">
        <f t="shared" si="55"/>
        <v xml:space="preserve"> </v>
      </c>
      <c r="N91" s="373" t="str">
        <f t="shared" si="56"/>
        <v xml:space="preserve"> </v>
      </c>
      <c r="O91" s="517" t="str">
        <f t="shared" si="57"/>
        <v xml:space="preserve"> </v>
      </c>
      <c r="P91" s="966" t="str">
        <f t="shared" si="58"/>
        <v xml:space="preserve"> </v>
      </c>
      <c r="Q91" s="126"/>
      <c r="R91" s="1422"/>
      <c r="S91" s="1422"/>
      <c r="T91" s="1422"/>
      <c r="U91" s="725"/>
      <c r="V91" s="921"/>
      <c r="W91" s="1042"/>
      <c r="Y91" s="995">
        <f>Y73+AF91</f>
        <v>0</v>
      </c>
      <c r="Z91" s="378"/>
      <c r="AA91" s="999" t="str">
        <f t="shared" si="45"/>
        <v xml:space="preserve"> </v>
      </c>
      <c r="AB91" s="1007" t="str">
        <f t="shared" si="49"/>
        <v xml:space="preserve"> </v>
      </c>
      <c r="AC91" s="1007" t="str">
        <f t="shared" si="49"/>
        <v xml:space="preserve"> </v>
      </c>
      <c r="AD91" s="1007" t="str">
        <f t="shared" si="49"/>
        <v xml:space="preserve"> </v>
      </c>
      <c r="AE91" s="436"/>
      <c r="AF91" s="503">
        <f>AH91+AQ91</f>
        <v>0</v>
      </c>
      <c r="AG91" s="1004"/>
      <c r="AH91" s="1013">
        <f>AH92+AH93</f>
        <v>0</v>
      </c>
      <c r="AI91" s="9"/>
      <c r="AJ91" s="999" t="str">
        <f t="shared" si="46"/>
        <v xml:space="preserve"> </v>
      </c>
      <c r="AK91" s="1007" t="str">
        <f t="shared" si="50"/>
        <v xml:space="preserve"> </v>
      </c>
      <c r="AL91" s="1007" t="str">
        <f t="shared" si="50"/>
        <v xml:space="preserve"> </v>
      </c>
      <c r="AM91" s="1007" t="str">
        <f t="shared" si="50"/>
        <v xml:space="preserve"> </v>
      </c>
      <c r="AN91" s="436"/>
      <c r="AO91" s="503"/>
      <c r="AP91" s="1004"/>
      <c r="AQ91" s="1013">
        <f>AQ92+AQ93</f>
        <v>0</v>
      </c>
      <c r="AS91" s="9"/>
      <c r="AT91" s="725"/>
      <c r="AU91" s="951" t="s">
        <v>1066</v>
      </c>
      <c r="AV91" s="373">
        <v>15</v>
      </c>
      <c r="AW91" s="517">
        <v>75</v>
      </c>
      <c r="AX91" s="966">
        <v>1125</v>
      </c>
      <c r="AY91" s="380"/>
      <c r="AZ91" s="380"/>
      <c r="BA91" s="380"/>
      <c r="BB91" s="380"/>
      <c r="BC91" s="380"/>
      <c r="BD91" s="934" t="s">
        <v>1063</v>
      </c>
      <c r="BE91" s="373">
        <v>15</v>
      </c>
      <c r="BF91" s="517">
        <v>65</v>
      </c>
      <c r="BG91" s="966">
        <v>975</v>
      </c>
      <c r="BH91" s="126"/>
      <c r="BI91" s="380"/>
      <c r="BJ91" s="380"/>
      <c r="BK91" s="725"/>
      <c r="BL91" s="725"/>
    </row>
    <row r="92" spans="1:64" s="3" customFormat="1" ht="15" customHeight="1" x14ac:dyDescent="0.25">
      <c r="A92" s="835"/>
      <c r="B92" s="945"/>
      <c r="C92" s="725"/>
      <c r="D92" s="951" t="str">
        <f t="shared" si="51"/>
        <v xml:space="preserve"> </v>
      </c>
      <c r="E92" s="373" t="str">
        <f t="shared" si="52"/>
        <v xml:space="preserve"> </v>
      </c>
      <c r="F92" s="517" t="str">
        <f t="shared" si="53"/>
        <v xml:space="preserve"> </v>
      </c>
      <c r="G92" s="966" t="str">
        <f t="shared" si="54"/>
        <v xml:space="preserve"> </v>
      </c>
      <c r="H92" s="380"/>
      <c r="I92" s="1422"/>
      <c r="J92" s="1422"/>
      <c r="K92" s="1422"/>
      <c r="L92" s="380"/>
      <c r="M92" s="801" t="str">
        <f t="shared" si="55"/>
        <v xml:space="preserve"> </v>
      </c>
      <c r="N92" s="373" t="str">
        <f t="shared" si="56"/>
        <v xml:space="preserve"> </v>
      </c>
      <c r="O92" s="517" t="str">
        <f t="shared" si="57"/>
        <v xml:space="preserve"> </v>
      </c>
      <c r="P92" s="966" t="str">
        <f t="shared" si="58"/>
        <v xml:space="preserve"> </v>
      </c>
      <c r="Q92" s="126"/>
      <c r="R92" s="1422"/>
      <c r="S92" s="1422"/>
      <c r="T92" s="1422"/>
      <c r="U92" s="725"/>
      <c r="V92" s="921"/>
      <c r="W92" s="1042"/>
      <c r="Y92" s="277">
        <v>20</v>
      </c>
      <c r="Z92" s="378"/>
      <c r="AA92" s="999" t="str">
        <f t="shared" si="45"/>
        <v xml:space="preserve"> </v>
      </c>
      <c r="AB92" s="1007" t="str">
        <f t="shared" si="49"/>
        <v xml:space="preserve"> </v>
      </c>
      <c r="AC92" s="1007" t="str">
        <f t="shared" si="49"/>
        <v xml:space="preserve"> </v>
      </c>
      <c r="AD92" s="1007" t="str">
        <f t="shared" si="49"/>
        <v xml:space="preserve"> </v>
      </c>
      <c r="AE92" s="436"/>
      <c r="AF92" s="503"/>
      <c r="AG92" s="1004"/>
      <c r="AH92" s="1012">
        <f>LEN(J94)</f>
        <v>0</v>
      </c>
      <c r="AI92" s="3">
        <f>AH92+Y73</f>
        <v>0</v>
      </c>
      <c r="AJ92" s="999" t="str">
        <f t="shared" si="46"/>
        <v xml:space="preserve"> </v>
      </c>
      <c r="AK92" s="1007" t="str">
        <f t="shared" si="50"/>
        <v xml:space="preserve"> </v>
      </c>
      <c r="AL92" s="1007" t="str">
        <f t="shared" si="50"/>
        <v xml:space="preserve"> </v>
      </c>
      <c r="AM92" s="1007" t="str">
        <f t="shared" si="50"/>
        <v xml:space="preserve"> </v>
      </c>
      <c r="AN92" s="436"/>
      <c r="AO92" s="503"/>
      <c r="AP92" s="1004"/>
      <c r="AQ92" s="1012">
        <f>LEN(S94)</f>
        <v>0</v>
      </c>
      <c r="AR92" s="3">
        <f>AQ92+Y73</f>
        <v>0</v>
      </c>
      <c r="AS92" s="9"/>
      <c r="AT92" s="725"/>
      <c r="AU92" s="951" t="s">
        <v>1069</v>
      </c>
      <c r="AV92" s="373">
        <v>15</v>
      </c>
      <c r="AW92" s="517">
        <v>75</v>
      </c>
      <c r="AX92" s="966">
        <v>1125</v>
      </c>
      <c r="AY92" s="380"/>
      <c r="AZ92" s="380"/>
      <c r="BA92" s="380"/>
      <c r="BB92" s="380"/>
      <c r="BC92" s="380"/>
      <c r="BD92" s="934" t="s">
        <v>1066</v>
      </c>
      <c r="BE92" s="373">
        <v>15</v>
      </c>
      <c r="BF92" s="517">
        <v>67</v>
      </c>
      <c r="BG92" s="966">
        <v>1005</v>
      </c>
      <c r="BH92" s="126"/>
      <c r="BI92" s="380"/>
      <c r="BJ92" s="380"/>
      <c r="BK92" s="725"/>
      <c r="BL92" s="725"/>
    </row>
    <row r="93" spans="1:64" s="3" customFormat="1" ht="15" customHeight="1" x14ac:dyDescent="0.25">
      <c r="A93" s="835"/>
      <c r="B93" s="945"/>
      <c r="C93" s="725"/>
      <c r="D93" s="963" t="str">
        <f t="shared" si="51"/>
        <v xml:space="preserve"> </v>
      </c>
      <c r="E93" s="919" t="str">
        <f t="shared" si="52"/>
        <v xml:space="preserve"> </v>
      </c>
      <c r="F93" s="957" t="str">
        <f t="shared" si="53"/>
        <v xml:space="preserve"> </v>
      </c>
      <c r="G93" s="967" t="str">
        <f t="shared" si="54"/>
        <v xml:space="preserve"> </v>
      </c>
      <c r="H93" s="951"/>
      <c r="I93" s="1422"/>
      <c r="J93" s="1422"/>
      <c r="K93" s="1422"/>
      <c r="L93" s="380"/>
      <c r="M93" s="963" t="str">
        <f t="shared" si="55"/>
        <v xml:space="preserve"> </v>
      </c>
      <c r="N93" s="919" t="str">
        <f t="shared" si="56"/>
        <v xml:space="preserve"> </v>
      </c>
      <c r="O93" s="957" t="str">
        <f t="shared" si="57"/>
        <v xml:space="preserve"> </v>
      </c>
      <c r="P93" s="967" t="str">
        <f t="shared" si="58"/>
        <v xml:space="preserve"> </v>
      </c>
      <c r="Q93" s="801"/>
      <c r="R93" s="1422"/>
      <c r="S93" s="1422"/>
      <c r="T93" s="1422"/>
      <c r="U93" s="725"/>
      <c r="V93" s="921"/>
      <c r="W93" s="1042"/>
      <c r="Y93" s="9"/>
      <c r="Z93" s="9"/>
      <c r="AA93" s="999" t="str">
        <f t="shared" si="45"/>
        <v xml:space="preserve"> </v>
      </c>
      <c r="AB93" s="1007" t="str">
        <f t="shared" si="49"/>
        <v xml:space="preserve"> </v>
      </c>
      <c r="AC93" s="1007" t="str">
        <f t="shared" si="49"/>
        <v xml:space="preserve"> </v>
      </c>
      <c r="AD93" s="1007" t="str">
        <f t="shared" si="49"/>
        <v xml:space="preserve"> </v>
      </c>
      <c r="AE93" s="215"/>
      <c r="AF93" s="215"/>
      <c r="AG93" s="1005"/>
      <c r="AH93" s="1012">
        <f>LEN(J95)</f>
        <v>0</v>
      </c>
      <c r="AI93" s="3">
        <f>AH93+Y73</f>
        <v>0</v>
      </c>
      <c r="AJ93" s="999" t="str">
        <f t="shared" si="46"/>
        <v xml:space="preserve"> </v>
      </c>
      <c r="AK93" s="1007" t="str">
        <f t="shared" si="50"/>
        <v xml:space="preserve"> </v>
      </c>
      <c r="AL93" s="1007" t="str">
        <f t="shared" si="50"/>
        <v xml:space="preserve"> </v>
      </c>
      <c r="AM93" s="1007" t="str">
        <f t="shared" si="50"/>
        <v xml:space="preserve"> </v>
      </c>
      <c r="AN93" s="215"/>
      <c r="AO93" s="215"/>
      <c r="AP93" s="1005"/>
      <c r="AQ93" s="1012">
        <f>LEN(S95)</f>
        <v>0</v>
      </c>
      <c r="AR93" s="3">
        <f>AQ93+Y73</f>
        <v>0</v>
      </c>
      <c r="AS93" s="9"/>
      <c r="AT93" s="725"/>
      <c r="AU93" s="963" t="s">
        <v>1072</v>
      </c>
      <c r="AV93" s="919">
        <v>15</v>
      </c>
      <c r="AW93" s="957">
        <v>81</v>
      </c>
      <c r="AX93" s="967">
        <v>1215</v>
      </c>
      <c r="AY93" s="963"/>
      <c r="AZ93" s="963"/>
      <c r="BA93" s="380"/>
      <c r="BB93" s="380"/>
      <c r="BC93" s="380"/>
      <c r="BD93" s="935" t="s">
        <v>1072</v>
      </c>
      <c r="BE93" s="919">
        <v>15</v>
      </c>
      <c r="BF93" s="957">
        <v>67</v>
      </c>
      <c r="BG93" s="967">
        <v>1005</v>
      </c>
      <c r="BH93" s="174"/>
      <c r="BI93" s="963"/>
      <c r="BJ93" s="963"/>
      <c r="BK93" s="725"/>
      <c r="BL93" s="725"/>
    </row>
    <row r="94" spans="1:64" s="3" customFormat="1" ht="15" customHeight="1" x14ac:dyDescent="0.25">
      <c r="A94" s="835"/>
      <c r="B94" s="945"/>
      <c r="C94" s="725"/>
      <c r="D94" s="801"/>
      <c r="E94" s="373" t="str">
        <f t="shared" si="52"/>
        <v xml:space="preserve"> </v>
      </c>
      <c r="F94" s="964" t="str">
        <f>AC94</f>
        <v xml:space="preserve"> </v>
      </c>
      <c r="G94" s="966" t="str">
        <f t="shared" si="54"/>
        <v xml:space="preserve"> </v>
      </c>
      <c r="H94" s="380"/>
      <c r="I94" s="846" t="str">
        <f>AF94</f>
        <v xml:space="preserve"> </v>
      </c>
      <c r="J94" s="1011"/>
      <c r="K94" s="1015" t="str">
        <f>AI94</f>
        <v xml:space="preserve"> </v>
      </c>
      <c r="L94" s="380"/>
      <c r="M94" s="801"/>
      <c r="N94" s="373" t="str">
        <f t="shared" si="56"/>
        <v xml:space="preserve"> </v>
      </c>
      <c r="O94" s="491" t="str">
        <f>AL94</f>
        <v xml:space="preserve"> </v>
      </c>
      <c r="P94" s="966" t="str">
        <f t="shared" si="58"/>
        <v xml:space="preserve"> </v>
      </c>
      <c r="Q94" s="380"/>
      <c r="R94" s="846" t="str">
        <f>AO94</f>
        <v xml:space="preserve"> </v>
      </c>
      <c r="S94" s="1011"/>
      <c r="T94" s="1015" t="str">
        <f>AR94</f>
        <v xml:space="preserve"> </v>
      </c>
      <c r="U94" s="725"/>
      <c r="V94" s="921"/>
      <c r="W94" s="1042"/>
      <c r="X94" s="57" t="s">
        <v>1117</v>
      </c>
      <c r="Y94" s="9"/>
      <c r="Z94" s="9"/>
      <c r="AA94" s="1006"/>
      <c r="AB94" s="1007" t="str">
        <f t="shared" si="49"/>
        <v xml:space="preserve"> </v>
      </c>
      <c r="AC94" s="1007" t="str">
        <f t="shared" si="49"/>
        <v xml:space="preserve"> </v>
      </c>
      <c r="AD94" s="1007" t="str">
        <f t="shared" si="49"/>
        <v xml:space="preserve"> </v>
      </c>
      <c r="AE94" s="215"/>
      <c r="AF94" s="1008" t="str">
        <f>IF($Y$73=4,AZ94," ")</f>
        <v xml:space="preserve"> </v>
      </c>
      <c r="AG94" s="1008" t="str">
        <f>IF($Y$73=4,BA94," ")</f>
        <v xml:space="preserve"> </v>
      </c>
      <c r="AH94" s="1014" t="str">
        <f>IF(J94=AG94,"P","O")</f>
        <v>O</v>
      </c>
      <c r="AI94" s="985" t="str">
        <f>IF(AI92&gt;=8,AH94," ")</f>
        <v xml:space="preserve"> </v>
      </c>
      <c r="AJ94" s="1006"/>
      <c r="AK94" s="1007" t="str">
        <f>IF($Y$73=4,BE94," ")</f>
        <v xml:space="preserve"> </v>
      </c>
      <c r="AL94" s="1007" t="str">
        <f t="shared" ref="AL94:AL95" si="59">IF($Y$73=4,BF94," ")</f>
        <v xml:space="preserve"> </v>
      </c>
      <c r="AM94" s="1007" t="str">
        <f>IF($Y$73=4,BG94," ")</f>
        <v xml:space="preserve"> </v>
      </c>
      <c r="AN94" s="215"/>
      <c r="AO94" s="1008" t="str">
        <f>IF($Y$73=4,BI94," ")</f>
        <v xml:space="preserve"> </v>
      </c>
      <c r="AP94" s="1007" t="str">
        <f>IF($Y$73=4,BJ94," ")</f>
        <v xml:space="preserve"> </v>
      </c>
      <c r="AQ94" s="1014" t="str">
        <f>IF(S94=AP94,"P","O")</f>
        <v>O</v>
      </c>
      <c r="AR94" s="985" t="str">
        <f>IF(AR92&gt;=8,AQ94," ")</f>
        <v xml:space="preserve"> </v>
      </c>
      <c r="AS94" s="9"/>
      <c r="AT94" s="725"/>
      <c r="AU94" s="801"/>
      <c r="AV94" s="373">
        <v>120</v>
      </c>
      <c r="AW94" s="964" t="s">
        <v>515</v>
      </c>
      <c r="AX94" s="966">
        <v>8685</v>
      </c>
      <c r="AY94" s="380"/>
      <c r="AZ94" s="846" t="s">
        <v>1097</v>
      </c>
      <c r="BA94" s="976">
        <f>SUM(AX89:AX93)</f>
        <v>6705</v>
      </c>
      <c r="BB94" s="981" t="s">
        <v>32</v>
      </c>
      <c r="BC94" s="380"/>
      <c r="BD94" s="934"/>
      <c r="BE94" s="373">
        <v>120</v>
      </c>
      <c r="BF94" s="964" t="s">
        <v>515</v>
      </c>
      <c r="BG94" s="966">
        <v>7755</v>
      </c>
      <c r="BH94" s="380"/>
      <c r="BI94" s="846" t="s">
        <v>1097</v>
      </c>
      <c r="BJ94" s="976">
        <f>SUM(BG89:BG93)</f>
        <v>5865</v>
      </c>
      <c r="BK94" s="981" t="s">
        <v>32</v>
      </c>
      <c r="BL94" s="725"/>
    </row>
    <row r="95" spans="1:64" s="3" customFormat="1" ht="15" customHeight="1" x14ac:dyDescent="0.25">
      <c r="A95" s="835"/>
      <c r="B95" s="945"/>
      <c r="C95" s="725"/>
      <c r="D95" s="801"/>
      <c r="E95" s="801"/>
      <c r="F95" s="964" t="str">
        <f>AC95</f>
        <v xml:space="preserve"> </v>
      </c>
      <c r="G95" s="1016" t="str">
        <f t="shared" si="54"/>
        <v xml:space="preserve"> </v>
      </c>
      <c r="H95" s="380"/>
      <c r="I95" s="846" t="str">
        <f>AF95</f>
        <v xml:space="preserve"> </v>
      </c>
      <c r="J95" s="1179"/>
      <c r="K95" s="1015" t="str">
        <f>AI95</f>
        <v xml:space="preserve"> </v>
      </c>
      <c r="L95" s="380"/>
      <c r="M95" s="801"/>
      <c r="N95" s="801"/>
      <c r="O95" s="491" t="str">
        <f>AL95</f>
        <v xml:space="preserve"> </v>
      </c>
      <c r="P95" s="1016" t="str">
        <f t="shared" si="58"/>
        <v xml:space="preserve"> </v>
      </c>
      <c r="Q95" s="380"/>
      <c r="R95" s="846" t="str">
        <f>AO95</f>
        <v xml:space="preserve"> </v>
      </c>
      <c r="S95" s="1179"/>
      <c r="T95" s="1015" t="str">
        <f>AR95</f>
        <v xml:space="preserve"> </v>
      </c>
      <c r="U95" s="725"/>
      <c r="V95" s="921"/>
      <c r="W95" s="1042"/>
      <c r="Y95" s="9"/>
      <c r="Z95" s="9" t="s">
        <v>1115</v>
      </c>
      <c r="AA95" s="1003"/>
      <c r="AB95" s="1003"/>
      <c r="AC95" s="1007" t="str">
        <f>IF($Y$73=4,AW95," ")</f>
        <v xml:space="preserve"> </v>
      </c>
      <c r="AD95" s="1007" t="str">
        <f>IF($Y$73=4,AX95," ")</f>
        <v xml:space="preserve"> </v>
      </c>
      <c r="AE95" s="1003"/>
      <c r="AF95" s="1008" t="str">
        <f>IF($Y$73=4,AZ95," ")</f>
        <v xml:space="preserve"> </v>
      </c>
      <c r="AG95" s="1007" t="str">
        <f>IF($Y$73=4,BA95," ")</f>
        <v xml:space="preserve"> </v>
      </c>
      <c r="AH95" s="1014" t="str">
        <f>IF(J95=AG95,"P","O")</f>
        <v>O</v>
      </c>
      <c r="AI95" s="985" t="str">
        <f>IF(AI93&gt;=8,AH95," ")</f>
        <v xml:space="preserve"> </v>
      </c>
      <c r="AJ95" s="1003"/>
      <c r="AK95" s="1003"/>
      <c r="AL95" s="1007" t="str">
        <f t="shared" si="59"/>
        <v xml:space="preserve"> </v>
      </c>
      <c r="AM95" s="1007" t="str">
        <f>IF($Y$73=4,BG95," ")</f>
        <v xml:space="preserve"> </v>
      </c>
      <c r="AN95" s="1003"/>
      <c r="AO95" s="1008" t="str">
        <f>IF($Y$73=4,BI95," ")</f>
        <v xml:space="preserve"> </v>
      </c>
      <c r="AP95" s="1007" t="str">
        <f>IF($Y$73=4,BJ95," ")</f>
        <v xml:space="preserve"> </v>
      </c>
      <c r="AQ95" s="1014" t="str">
        <f>IF(S95=AP95,"P","O")</f>
        <v>O</v>
      </c>
      <c r="AR95" s="985" t="str">
        <f>IF(AR93&gt;=8,AQ95," ")</f>
        <v xml:space="preserve"> </v>
      </c>
      <c r="AS95" s="401"/>
      <c r="AT95" s="725"/>
      <c r="AU95" s="801"/>
      <c r="AV95" s="801"/>
      <c r="AW95" s="964" t="s">
        <v>1096</v>
      </c>
      <c r="AX95" s="968">
        <v>72.37</v>
      </c>
      <c r="AY95" s="380"/>
      <c r="AZ95" s="846" t="s">
        <v>1098</v>
      </c>
      <c r="BA95" s="977">
        <f>BA94/90</f>
        <v>74.5</v>
      </c>
      <c r="BB95" s="981" t="s">
        <v>32</v>
      </c>
      <c r="BC95" s="380"/>
      <c r="BD95" s="934"/>
      <c r="BE95" s="801"/>
      <c r="BF95" s="964" t="s">
        <v>1096</v>
      </c>
      <c r="BG95" s="936">
        <v>64.63</v>
      </c>
      <c r="BH95" s="380"/>
      <c r="BI95" s="846" t="s">
        <v>1098</v>
      </c>
      <c r="BJ95" s="977">
        <v>65.16</v>
      </c>
      <c r="BK95" s="981" t="s">
        <v>32</v>
      </c>
      <c r="BL95" s="725"/>
    </row>
    <row r="96" spans="1:64" s="3" customFormat="1" ht="15" customHeight="1" x14ac:dyDescent="0.25">
      <c r="A96" s="835"/>
      <c r="B96" s="945"/>
      <c r="C96" s="983" t="str">
        <f>Z96</f>
        <v xml:space="preserve"> </v>
      </c>
      <c r="D96" s="725"/>
      <c r="E96" s="725"/>
      <c r="F96" s="725"/>
      <c r="G96" s="725"/>
      <c r="H96" s="725"/>
      <c r="I96" s="725"/>
      <c r="J96" s="725"/>
      <c r="K96" s="725"/>
      <c r="L96" s="725"/>
      <c r="M96" s="725"/>
      <c r="N96" s="725"/>
      <c r="O96" s="725"/>
      <c r="P96" s="725"/>
      <c r="Q96" s="725"/>
      <c r="R96" s="725"/>
      <c r="S96" s="725"/>
      <c r="T96" s="725"/>
      <c r="U96" s="725"/>
      <c r="V96" s="921"/>
      <c r="W96" s="1042"/>
      <c r="Z96" s="999" t="str">
        <f>IF($Y$91&gt;=20,AT96," ")</f>
        <v xml:space="preserve"> </v>
      </c>
      <c r="AA96" s="9"/>
      <c r="AB96" s="9"/>
      <c r="AC96" s="9"/>
      <c r="AD96" s="9"/>
      <c r="AE96" s="9"/>
      <c r="AF96" s="9"/>
      <c r="AG96" s="9"/>
      <c r="AH96" s="9"/>
      <c r="AI96" s="635"/>
      <c r="AJ96" s="635"/>
      <c r="AK96" s="635"/>
      <c r="AL96" s="401"/>
      <c r="AM96" s="940"/>
      <c r="AN96" s="938"/>
      <c r="AO96" s="938"/>
      <c r="AP96" s="635"/>
      <c r="AQ96" s="635"/>
      <c r="AR96" s="635"/>
      <c r="AS96" s="401"/>
      <c r="AT96" s="983" t="s">
        <v>1100</v>
      </c>
      <c r="AU96" s="725"/>
      <c r="AV96" s="725"/>
      <c r="AW96" s="725"/>
      <c r="AX96" s="725"/>
      <c r="AY96" s="725"/>
      <c r="AZ96" s="725"/>
      <c r="BA96" s="725"/>
      <c r="BB96" s="725"/>
      <c r="BC96" s="725"/>
      <c r="BD96" s="1001"/>
      <c r="BE96" s="725"/>
      <c r="BF96" s="725"/>
      <c r="BG96" s="725"/>
      <c r="BH96" s="725"/>
      <c r="BI96" s="725"/>
      <c r="BJ96" s="725"/>
      <c r="BK96" s="725"/>
      <c r="BL96" s="725"/>
    </row>
    <row r="97" spans="1:64" s="3" customFormat="1" ht="15" customHeight="1" x14ac:dyDescent="0.25">
      <c r="A97" s="835"/>
      <c r="B97" s="945"/>
      <c r="C97" s="1430" t="str">
        <f>Z97</f>
        <v xml:space="preserve"> </v>
      </c>
      <c r="D97" s="1430"/>
      <c r="E97" s="1430"/>
      <c r="F97" s="1430"/>
      <c r="G97" s="1430"/>
      <c r="H97" s="1430"/>
      <c r="I97" s="1430"/>
      <c r="J97" s="1430"/>
      <c r="K97" s="1430"/>
      <c r="L97" s="1430"/>
      <c r="M97" s="1430"/>
      <c r="N97" s="1430"/>
      <c r="O97" s="1430"/>
      <c r="P97" s="1430"/>
      <c r="Q97" s="1430"/>
      <c r="R97" s="1430"/>
      <c r="S97" s="1430"/>
      <c r="T97" s="1430"/>
      <c r="U97" s="725"/>
      <c r="V97" s="921"/>
      <c r="W97" s="1042"/>
      <c r="Z97" s="999" t="str">
        <f>IF($Y$91&gt;=20,AT97," ")</f>
        <v xml:space="preserve"> </v>
      </c>
      <c r="AA97" s="961"/>
      <c r="AC97" s="9"/>
      <c r="AD97" s="9"/>
      <c r="AE97" s="9"/>
      <c r="AF97" s="9"/>
      <c r="AG97" s="9"/>
      <c r="AH97" s="9"/>
      <c r="AI97" s="635"/>
      <c r="AJ97" s="635"/>
      <c r="AK97" s="635"/>
      <c r="AL97" s="401"/>
      <c r="AM97" s="940"/>
      <c r="AN97" s="938"/>
      <c r="AO97" s="938"/>
      <c r="AP97" s="635"/>
      <c r="AQ97" s="635"/>
      <c r="AR97" s="635"/>
      <c r="AS97" s="401"/>
      <c r="AT97" s="852" t="s">
        <v>1151</v>
      </c>
      <c r="AU97" s="852"/>
      <c r="AV97" s="852"/>
      <c r="AW97" s="852"/>
      <c r="AX97" s="852"/>
      <c r="AY97" s="852"/>
      <c r="AZ97" s="852"/>
      <c r="BA97" s="852"/>
      <c r="BB97" s="852"/>
      <c r="BC97" s="852"/>
      <c r="BD97" s="852"/>
      <c r="BE97" s="852"/>
      <c r="BF97" s="852"/>
      <c r="BG97" s="852"/>
      <c r="BH97" s="852"/>
      <c r="BI97" s="852"/>
      <c r="BJ97" s="852"/>
      <c r="BK97" s="852"/>
      <c r="BL97" s="725"/>
    </row>
    <row r="98" spans="1:64" s="3" customFormat="1" ht="15" customHeight="1" x14ac:dyDescent="0.25">
      <c r="A98" s="835"/>
      <c r="B98" s="945"/>
      <c r="C98" s="1430"/>
      <c r="D98" s="1430"/>
      <c r="E98" s="1430"/>
      <c r="F98" s="1430"/>
      <c r="G98" s="1430"/>
      <c r="H98" s="1430"/>
      <c r="I98" s="1430"/>
      <c r="J98" s="1430"/>
      <c r="K98" s="1430"/>
      <c r="L98" s="1430"/>
      <c r="M98" s="1430"/>
      <c r="N98" s="1430"/>
      <c r="O98" s="1430"/>
      <c r="P98" s="1430"/>
      <c r="Q98" s="1430"/>
      <c r="R98" s="1430"/>
      <c r="S98" s="1430"/>
      <c r="T98" s="1430"/>
      <c r="U98" s="725"/>
      <c r="V98" s="921"/>
      <c r="W98" s="1042"/>
      <c r="Z98" s="999"/>
      <c r="AA98" s="961"/>
      <c r="AC98" s="9"/>
      <c r="AD98" s="9"/>
      <c r="AE98" s="9"/>
      <c r="AF98" s="9"/>
      <c r="AG98" s="9"/>
      <c r="AH98" s="9"/>
      <c r="AI98" s="635"/>
      <c r="AJ98" s="635"/>
      <c r="AK98" s="635"/>
      <c r="AL98" s="401"/>
      <c r="AM98" s="940"/>
      <c r="AN98" s="938"/>
      <c r="AO98" s="938"/>
      <c r="AP98" s="635"/>
      <c r="AQ98" s="635"/>
      <c r="AR98" s="635"/>
      <c r="AS98" s="401"/>
      <c r="AT98" s="852"/>
      <c r="AU98" s="852"/>
      <c r="AV98" s="852"/>
      <c r="AW98" s="852"/>
      <c r="AX98" s="852"/>
      <c r="AY98" s="852"/>
      <c r="AZ98" s="852"/>
      <c r="BA98" s="852"/>
      <c r="BB98" s="852"/>
      <c r="BC98" s="852"/>
      <c r="BD98" s="852"/>
      <c r="BE98" s="852"/>
      <c r="BF98" s="852"/>
      <c r="BG98" s="852"/>
      <c r="BH98" s="852"/>
      <c r="BI98" s="852"/>
      <c r="BJ98" s="852"/>
      <c r="BK98" s="852"/>
      <c r="BL98" s="725"/>
    </row>
    <row r="99" spans="1:64" s="3" customFormat="1" ht="15" customHeight="1" x14ac:dyDescent="0.25">
      <c r="A99" s="835"/>
      <c r="B99" s="945"/>
      <c r="C99" s="1430"/>
      <c r="D99" s="1430"/>
      <c r="E99" s="1430"/>
      <c r="F99" s="1430"/>
      <c r="G99" s="1430"/>
      <c r="H99" s="1430"/>
      <c r="I99" s="1430"/>
      <c r="J99" s="1430"/>
      <c r="K99" s="1430"/>
      <c r="L99" s="1430"/>
      <c r="M99" s="1430"/>
      <c r="N99" s="1430"/>
      <c r="O99" s="1430"/>
      <c r="P99" s="1430"/>
      <c r="Q99" s="1430"/>
      <c r="R99" s="1430"/>
      <c r="S99" s="1430"/>
      <c r="T99" s="1430"/>
      <c r="U99" s="725"/>
      <c r="V99" s="921"/>
      <c r="W99" s="1042"/>
      <c r="Z99" s="999"/>
      <c r="AA99" s="961"/>
      <c r="AC99" s="9"/>
      <c r="AD99" s="9"/>
      <c r="AE99" s="9"/>
      <c r="AF99" s="9"/>
      <c r="AG99" s="9"/>
      <c r="AH99" s="9"/>
      <c r="AI99" s="635"/>
      <c r="AJ99" s="635"/>
      <c r="AK99" s="635"/>
      <c r="AL99" s="401"/>
      <c r="AM99" s="940"/>
      <c r="AN99" s="938"/>
      <c r="AO99" s="938"/>
      <c r="AP99" s="635"/>
      <c r="AQ99" s="635"/>
      <c r="AR99" s="635"/>
      <c r="AS99" s="401"/>
      <c r="AT99" s="852"/>
      <c r="AU99" s="852"/>
      <c r="AV99" s="852"/>
      <c r="AW99" s="852"/>
      <c r="AX99" s="852"/>
      <c r="AY99" s="852"/>
      <c r="AZ99" s="852"/>
      <c r="BA99" s="852"/>
      <c r="BB99" s="852"/>
      <c r="BC99" s="852"/>
      <c r="BD99" s="852"/>
      <c r="BE99" s="852"/>
      <c r="BF99" s="852"/>
      <c r="BG99" s="852"/>
      <c r="BH99" s="852"/>
      <c r="BI99" s="852"/>
      <c r="BJ99" s="852"/>
      <c r="BK99" s="852"/>
      <c r="BL99" s="725"/>
    </row>
    <row r="100" spans="1:64" s="3" customFormat="1" ht="6" customHeight="1" x14ac:dyDescent="0.25">
      <c r="A100" s="835"/>
      <c r="B100" s="945"/>
      <c r="C100" s="933"/>
      <c r="D100" s="933"/>
      <c r="E100" s="933"/>
      <c r="F100" s="933"/>
      <c r="G100" s="933"/>
      <c r="H100" s="933"/>
      <c r="I100" s="933"/>
      <c r="J100" s="933"/>
      <c r="K100" s="933"/>
      <c r="L100" s="933"/>
      <c r="M100" s="933"/>
      <c r="N100" s="933"/>
      <c r="O100" s="933"/>
      <c r="P100" s="933"/>
      <c r="Q100" s="933"/>
      <c r="R100" s="933"/>
      <c r="S100" s="933"/>
      <c r="T100" s="933"/>
      <c r="U100" s="725"/>
      <c r="V100" s="921"/>
      <c r="W100" s="1042"/>
      <c r="X100" s="942"/>
      <c r="AA100" s="961"/>
      <c r="AC100" s="9"/>
      <c r="AD100" s="9"/>
      <c r="AE100" s="9"/>
      <c r="AF100" s="9"/>
      <c r="AG100" s="9"/>
      <c r="AH100" s="9"/>
      <c r="AI100" s="635"/>
      <c r="AJ100" s="635"/>
      <c r="AK100" s="635"/>
      <c r="AL100" s="401"/>
      <c r="AM100" s="940"/>
      <c r="AN100" s="938"/>
      <c r="AO100" s="938"/>
      <c r="AP100" s="635"/>
      <c r="AQ100" s="635"/>
      <c r="AR100" s="635"/>
      <c r="AS100" s="401"/>
      <c r="AT100" s="852"/>
      <c r="AU100" s="852"/>
      <c r="AV100" s="852"/>
      <c r="AW100" s="852"/>
      <c r="AX100" s="852"/>
      <c r="AY100" s="852"/>
      <c r="AZ100" s="852"/>
      <c r="BA100" s="852"/>
      <c r="BB100" s="852"/>
      <c r="BC100" s="852"/>
      <c r="BD100" s="852"/>
      <c r="BE100" s="852"/>
      <c r="BF100" s="852"/>
      <c r="BG100" s="852"/>
      <c r="BH100" s="852"/>
      <c r="BI100" s="852"/>
      <c r="BJ100" s="852"/>
      <c r="BK100" s="852"/>
      <c r="BL100" s="725"/>
    </row>
    <row r="101" spans="1:64" s="3" customFormat="1" ht="15" customHeight="1" x14ac:dyDescent="0.25">
      <c r="A101" s="835"/>
      <c r="B101" s="945"/>
      <c r="C101" s="725"/>
      <c r="D101" s="40" t="str">
        <f>AA101</f>
        <v xml:space="preserve"> </v>
      </c>
      <c r="E101" s="951"/>
      <c r="F101" s="951"/>
      <c r="G101" s="951"/>
      <c r="H101" s="380"/>
      <c r="I101" s="380"/>
      <c r="J101" s="380"/>
      <c r="K101" s="380"/>
      <c r="L101" s="380"/>
      <c r="M101" s="106" t="str">
        <f t="shared" ref="M101:M108" si="60">AJ101</f>
        <v xml:space="preserve"> </v>
      </c>
      <c r="N101" s="380"/>
      <c r="O101" s="380"/>
      <c r="P101" s="380"/>
      <c r="Q101" s="380"/>
      <c r="R101" s="380"/>
      <c r="S101" s="380"/>
      <c r="T101" s="725"/>
      <c r="U101" s="725"/>
      <c r="V101" s="921"/>
      <c r="W101" s="1042"/>
      <c r="AA101" s="999" t="str">
        <f>IF($Y$91&gt;=20,AU101," ")</f>
        <v xml:space="preserve"> </v>
      </c>
      <c r="AF101" s="380"/>
      <c r="AG101" s="380"/>
      <c r="AH101" s="380"/>
      <c r="AI101" s="380"/>
      <c r="AJ101" s="999" t="str">
        <f t="shared" ref="AJ101:AJ108" si="61">IF($Y$91&gt;=20,BD101," ")</f>
        <v xml:space="preserve"> </v>
      </c>
      <c r="AO101" s="380"/>
      <c r="AP101" s="380"/>
      <c r="AQ101" s="725"/>
      <c r="AR101" s="725"/>
      <c r="AS101" s="401"/>
      <c r="AT101" s="725"/>
      <c r="AU101" s="40" t="s">
        <v>1092</v>
      </c>
      <c r="AV101" s="951"/>
      <c r="AW101" s="951"/>
      <c r="AX101" s="951"/>
      <c r="AY101" s="380"/>
      <c r="AZ101" s="380"/>
      <c r="BA101" s="380"/>
      <c r="BB101" s="380"/>
      <c r="BC101" s="380"/>
      <c r="BD101" s="106" t="s">
        <v>1088</v>
      </c>
      <c r="BE101" s="380"/>
      <c r="BF101" s="380"/>
      <c r="BG101" s="380"/>
      <c r="BH101" s="380"/>
      <c r="BI101" s="380"/>
      <c r="BJ101" s="380"/>
      <c r="BK101" s="725"/>
      <c r="BL101" s="725"/>
    </row>
    <row r="102" spans="1:64" s="3" customFormat="1" ht="15" customHeight="1" x14ac:dyDescent="0.25">
      <c r="A102" s="835"/>
      <c r="B102" s="945"/>
      <c r="C102" s="725"/>
      <c r="D102" s="40" t="str">
        <f>AA102</f>
        <v xml:space="preserve"> </v>
      </c>
      <c r="E102" s="801" t="str">
        <f>AB102</f>
        <v xml:space="preserve"> </v>
      </c>
      <c r="F102" s="40" t="str">
        <f t="shared" ref="F102:F110" si="62">AC102</f>
        <v xml:space="preserve"> </v>
      </c>
      <c r="G102" s="971" t="str">
        <f t="shared" ref="G102:G110" si="63">AD102</f>
        <v xml:space="preserve"> </v>
      </c>
      <c r="H102" s="40" t="str">
        <f t="shared" ref="H102:H109" si="64">AE102</f>
        <v xml:space="preserve"> </v>
      </c>
      <c r="I102" s="725"/>
      <c r="J102" s="380"/>
      <c r="K102" s="936" t="str">
        <f t="shared" ref="K102:K108" si="65">AG102</f>
        <v xml:space="preserve"> </v>
      </c>
      <c r="L102" s="380"/>
      <c r="M102" s="40" t="str">
        <f t="shared" si="60"/>
        <v xml:space="preserve"> </v>
      </c>
      <c r="N102" s="801" t="str">
        <f t="shared" ref="N102:Q109" si="66">AK102</f>
        <v xml:space="preserve"> </v>
      </c>
      <c r="O102" s="40" t="str">
        <f t="shared" si="66"/>
        <v xml:space="preserve"> </v>
      </c>
      <c r="P102" s="971" t="str">
        <f t="shared" si="66"/>
        <v xml:space="preserve"> </v>
      </c>
      <c r="Q102" s="40" t="str">
        <f t="shared" si="66"/>
        <v xml:space="preserve"> </v>
      </c>
      <c r="R102" s="380"/>
      <c r="S102" s="380"/>
      <c r="T102" s="936" t="str">
        <f t="shared" ref="T102:T108" si="67">AP102</f>
        <v xml:space="preserve"> </v>
      </c>
      <c r="U102" s="725"/>
      <c r="V102" s="921"/>
      <c r="W102" s="1042"/>
      <c r="AA102" s="999" t="str">
        <f t="shared" ref="AA102:AA108" si="68">IF($Y$91&gt;=20,AU102," ")</f>
        <v xml:space="preserve"> </v>
      </c>
      <c r="AB102" s="999" t="str">
        <f t="shared" ref="AB102:AB109" si="69">IF($Y$91&gt;=20,AV102," ")</f>
        <v xml:space="preserve"> </v>
      </c>
      <c r="AC102" s="999" t="str">
        <f t="shared" ref="AC102:AC110" si="70">IF($Y$91&gt;=20,AW102," ")</f>
        <v xml:space="preserve"> </v>
      </c>
      <c r="AD102" s="999" t="str">
        <f t="shared" ref="AD102:AD110" si="71">IF($Y$91&gt;=20,AX102," ")</f>
        <v xml:space="preserve"> </v>
      </c>
      <c r="AE102" s="999" t="str">
        <f t="shared" ref="AE102:AE110" si="72">IF($Y$91&gt;=20,AY102," ")</f>
        <v xml:space="preserve"> </v>
      </c>
      <c r="AF102" s="380"/>
      <c r="AG102" s="999" t="str">
        <f t="shared" ref="AG102:AG108" si="73">IF($Y$91&gt;=20,BB102," ")</f>
        <v xml:space="preserve"> </v>
      </c>
      <c r="AH102" s="3" t="str">
        <f>IF(Y91&gt;=20,AH103," ")</f>
        <v xml:space="preserve"> </v>
      </c>
      <c r="AI102" s="380"/>
      <c r="AJ102" s="999" t="str">
        <f t="shared" si="61"/>
        <v xml:space="preserve"> </v>
      </c>
      <c r="AK102" s="999" t="str">
        <f t="shared" ref="AK102:AK110" si="74">IF($Y$91&gt;=20,BE102," ")</f>
        <v xml:space="preserve"> </v>
      </c>
      <c r="AL102" s="999" t="str">
        <f t="shared" ref="AL102:AL110" si="75">IF($Y$91&gt;=20,BF102," ")</f>
        <v xml:space="preserve"> </v>
      </c>
      <c r="AM102" s="999" t="str">
        <f t="shared" ref="AM102:AM110" si="76">IF($Y$91&gt;=20,BG102," ")</f>
        <v xml:space="preserve"> </v>
      </c>
      <c r="AN102" s="999" t="str">
        <f t="shared" ref="AN102:AN110" si="77">IF($Y$91&gt;=20,BH102," ")</f>
        <v xml:space="preserve"> </v>
      </c>
      <c r="AO102" s="380"/>
      <c r="AP102" s="999" t="str">
        <f t="shared" ref="AP102:AP108" si="78">IF($Y$91&gt;=20,BK102," ")</f>
        <v xml:space="preserve"> </v>
      </c>
      <c r="AR102" s="725"/>
      <c r="AS102" s="401"/>
      <c r="AT102" s="725"/>
      <c r="AU102" s="40" t="s">
        <v>15</v>
      </c>
      <c r="AV102" s="801" t="s">
        <v>575</v>
      </c>
      <c r="AW102" s="40" t="s">
        <v>555</v>
      </c>
      <c r="AX102" s="971" t="s">
        <v>1095</v>
      </c>
      <c r="AY102" s="40" t="s">
        <v>1101</v>
      </c>
      <c r="AZ102" s="725"/>
      <c r="BA102" s="380"/>
      <c r="BB102" s="936" t="s">
        <v>1102</v>
      </c>
      <c r="BC102" s="380"/>
      <c r="BD102" s="40" t="s">
        <v>15</v>
      </c>
      <c r="BE102" s="801" t="s">
        <v>575</v>
      </c>
      <c r="BF102" s="40" t="s">
        <v>555</v>
      </c>
      <c r="BG102" s="971" t="s">
        <v>1095</v>
      </c>
      <c r="BH102" s="40" t="s">
        <v>1101</v>
      </c>
      <c r="BI102" s="380"/>
      <c r="BJ102" s="380"/>
      <c r="BK102" s="936" t="s">
        <v>1102</v>
      </c>
      <c r="BL102" s="725"/>
    </row>
    <row r="103" spans="1:64" s="3" customFormat="1" ht="15" customHeight="1" x14ac:dyDescent="0.25">
      <c r="A103" s="835"/>
      <c r="B103" s="945"/>
      <c r="C103" s="725"/>
      <c r="D103" s="951" t="str">
        <f>AA103</f>
        <v xml:space="preserve"> </v>
      </c>
      <c r="E103" s="982" t="str">
        <f t="shared" ref="E103:E109" si="79">AB103</f>
        <v xml:space="preserve"> </v>
      </c>
      <c r="F103" s="517" t="str">
        <f t="shared" si="62"/>
        <v xml:space="preserve"> </v>
      </c>
      <c r="G103" s="972" t="str">
        <f t="shared" si="63"/>
        <v xml:space="preserve"> </v>
      </c>
      <c r="H103" s="373" t="str">
        <f t="shared" si="64"/>
        <v xml:space="preserve"> </v>
      </c>
      <c r="I103" s="725"/>
      <c r="J103" s="380"/>
      <c r="K103" s="952" t="str">
        <f t="shared" si="65"/>
        <v xml:space="preserve"> </v>
      </c>
      <c r="L103" s="380"/>
      <c r="M103" s="801" t="str">
        <f t="shared" si="60"/>
        <v xml:space="preserve"> </v>
      </c>
      <c r="N103" s="982" t="str">
        <f t="shared" si="66"/>
        <v xml:space="preserve"> </v>
      </c>
      <c r="O103" s="517" t="str">
        <f t="shared" si="66"/>
        <v xml:space="preserve"> </v>
      </c>
      <c r="P103" s="972" t="str">
        <f t="shared" si="66"/>
        <v xml:space="preserve"> </v>
      </c>
      <c r="Q103" s="373" t="str">
        <f t="shared" si="66"/>
        <v xml:space="preserve"> </v>
      </c>
      <c r="R103" s="380"/>
      <c r="S103" s="380"/>
      <c r="T103" s="975" t="str">
        <f t="shared" si="67"/>
        <v xml:space="preserve"> </v>
      </c>
      <c r="U103" s="725"/>
      <c r="V103" s="921"/>
      <c r="W103" s="1042"/>
      <c r="AA103" s="999" t="str">
        <f t="shared" si="68"/>
        <v xml:space="preserve"> </v>
      </c>
      <c r="AB103" s="999" t="str">
        <f t="shared" si="69"/>
        <v xml:space="preserve"> </v>
      </c>
      <c r="AC103" s="999" t="str">
        <f t="shared" si="70"/>
        <v xml:space="preserve"> </v>
      </c>
      <c r="AD103" s="999" t="str">
        <f t="shared" si="71"/>
        <v xml:space="preserve"> </v>
      </c>
      <c r="AE103" s="999" t="str">
        <f t="shared" si="72"/>
        <v xml:space="preserve"> </v>
      </c>
      <c r="AF103" s="380"/>
      <c r="AG103" s="999" t="str">
        <f t="shared" si="73"/>
        <v xml:space="preserve"> </v>
      </c>
      <c r="AH103" s="3" t="str">
        <f>IF(AH104&gt;=16,AH111," ")</f>
        <v xml:space="preserve"> </v>
      </c>
      <c r="AI103" s="380"/>
      <c r="AJ103" s="999" t="str">
        <f t="shared" si="61"/>
        <v xml:space="preserve"> </v>
      </c>
      <c r="AK103" s="999" t="str">
        <f t="shared" si="74"/>
        <v xml:space="preserve"> </v>
      </c>
      <c r="AL103" s="999" t="str">
        <f t="shared" si="75"/>
        <v xml:space="preserve"> </v>
      </c>
      <c r="AM103" s="999" t="str">
        <f t="shared" si="76"/>
        <v xml:space="preserve"> </v>
      </c>
      <c r="AN103" s="999" t="str">
        <f t="shared" si="77"/>
        <v xml:space="preserve"> </v>
      </c>
      <c r="AO103" s="380"/>
      <c r="AP103" s="999" t="str">
        <f t="shared" si="78"/>
        <v xml:space="preserve"> </v>
      </c>
      <c r="AR103" s="725"/>
      <c r="AS103" s="9"/>
      <c r="AT103" s="725"/>
      <c r="AU103" s="951" t="s">
        <v>1057</v>
      </c>
      <c r="AV103" s="982">
        <v>30</v>
      </c>
      <c r="AW103" s="517">
        <v>66</v>
      </c>
      <c r="AX103" s="972">
        <v>1980</v>
      </c>
      <c r="AY103" s="373">
        <v>10</v>
      </c>
      <c r="AZ103" s="725"/>
      <c r="BA103" s="380"/>
      <c r="BB103" s="952">
        <v>660</v>
      </c>
      <c r="BC103" s="380"/>
      <c r="BD103" s="801" t="s">
        <v>1057</v>
      </c>
      <c r="BE103" s="982">
        <v>30</v>
      </c>
      <c r="BF103" s="517">
        <v>63</v>
      </c>
      <c r="BG103" s="972">
        <v>1890</v>
      </c>
      <c r="BH103" s="373">
        <v>10</v>
      </c>
      <c r="BI103" s="380"/>
      <c r="BJ103" s="380"/>
      <c r="BK103" s="975">
        <v>630</v>
      </c>
      <c r="BL103" s="725"/>
    </row>
    <row r="104" spans="1:64" s="3" customFormat="1" ht="15" customHeight="1" x14ac:dyDescent="0.25">
      <c r="A104" s="835"/>
      <c r="B104" s="945"/>
      <c r="C104" s="725"/>
      <c r="D104" s="951" t="str">
        <f t="shared" ref="D104:D108" si="80">AA104</f>
        <v xml:space="preserve"> </v>
      </c>
      <c r="E104" s="969" t="str">
        <f t="shared" si="79"/>
        <v xml:space="preserve"> </v>
      </c>
      <c r="F104" s="517" t="str">
        <f t="shared" si="62"/>
        <v xml:space="preserve"> </v>
      </c>
      <c r="G104" s="972" t="str">
        <f t="shared" si="63"/>
        <v xml:space="preserve"> </v>
      </c>
      <c r="H104" s="373" t="str">
        <f t="shared" si="64"/>
        <v xml:space="preserve"> </v>
      </c>
      <c r="I104" s="725"/>
      <c r="J104" s="380"/>
      <c r="K104" s="952" t="str">
        <f t="shared" si="65"/>
        <v xml:space="preserve"> </v>
      </c>
      <c r="L104" s="380"/>
      <c r="M104" s="801" t="str">
        <f t="shared" si="60"/>
        <v xml:space="preserve"> </v>
      </c>
      <c r="N104" s="969" t="str">
        <f t="shared" si="66"/>
        <v xml:space="preserve"> </v>
      </c>
      <c r="O104" s="517" t="str">
        <f t="shared" si="66"/>
        <v xml:space="preserve"> </v>
      </c>
      <c r="P104" s="972" t="str">
        <f t="shared" si="66"/>
        <v xml:space="preserve"> </v>
      </c>
      <c r="Q104" s="373" t="str">
        <f t="shared" si="66"/>
        <v xml:space="preserve"> </v>
      </c>
      <c r="R104" s="380"/>
      <c r="S104" s="380"/>
      <c r="T104" s="975" t="str">
        <f t="shared" si="67"/>
        <v xml:space="preserve"> </v>
      </c>
      <c r="U104" s="725"/>
      <c r="V104" s="921"/>
      <c r="W104" s="1042"/>
      <c r="Y104" s="995">
        <f>Y91+AH104</f>
        <v>0</v>
      </c>
      <c r="AA104" s="999" t="str">
        <f t="shared" si="68"/>
        <v xml:space="preserve"> </v>
      </c>
      <c r="AB104" s="999" t="str">
        <f t="shared" si="69"/>
        <v xml:space="preserve"> </v>
      </c>
      <c r="AC104" s="999" t="str">
        <f t="shared" si="70"/>
        <v xml:space="preserve"> </v>
      </c>
      <c r="AD104" s="999" t="str">
        <f t="shared" si="71"/>
        <v xml:space="preserve"> </v>
      </c>
      <c r="AE104" s="999" t="str">
        <f t="shared" si="72"/>
        <v xml:space="preserve"> </v>
      </c>
      <c r="AF104" s="380"/>
      <c r="AG104" s="999" t="str">
        <f t="shared" si="73"/>
        <v xml:space="preserve"> </v>
      </c>
      <c r="AH104" s="3">
        <f>AH106+AQ106</f>
        <v>0</v>
      </c>
      <c r="AI104" s="380"/>
      <c r="AJ104" s="999" t="str">
        <f t="shared" si="61"/>
        <v xml:space="preserve"> </v>
      </c>
      <c r="AK104" s="999" t="str">
        <f t="shared" si="74"/>
        <v xml:space="preserve"> </v>
      </c>
      <c r="AL104" s="999" t="str">
        <f t="shared" si="75"/>
        <v xml:space="preserve"> </v>
      </c>
      <c r="AM104" s="999" t="str">
        <f t="shared" si="76"/>
        <v xml:space="preserve"> </v>
      </c>
      <c r="AN104" s="999" t="str">
        <f t="shared" si="77"/>
        <v xml:space="preserve"> </v>
      </c>
      <c r="AO104" s="380"/>
      <c r="AP104" s="999" t="str">
        <f t="shared" si="78"/>
        <v xml:space="preserve"> </v>
      </c>
      <c r="AR104" s="725"/>
      <c r="AS104" s="9"/>
      <c r="AT104" s="725"/>
      <c r="AU104" s="951" t="s">
        <v>1060</v>
      </c>
      <c r="AV104" s="969">
        <v>30</v>
      </c>
      <c r="AW104" s="517">
        <v>71</v>
      </c>
      <c r="AX104" s="972">
        <v>2130</v>
      </c>
      <c r="AY104" s="373">
        <v>30</v>
      </c>
      <c r="AZ104" s="725"/>
      <c r="BA104" s="380"/>
      <c r="BB104" s="952">
        <v>2130</v>
      </c>
      <c r="BC104" s="380"/>
      <c r="BD104" s="801" t="s">
        <v>1069</v>
      </c>
      <c r="BE104" s="969">
        <v>15</v>
      </c>
      <c r="BF104" s="517">
        <v>64</v>
      </c>
      <c r="BG104" s="972">
        <v>960</v>
      </c>
      <c r="BH104" s="373">
        <v>30</v>
      </c>
      <c r="BI104" s="380"/>
      <c r="BJ104" s="380"/>
      <c r="BK104" s="975">
        <v>1920</v>
      </c>
      <c r="BL104" s="725"/>
    </row>
    <row r="105" spans="1:64" s="3" customFormat="1" ht="15" customHeight="1" x14ac:dyDescent="0.25">
      <c r="A105" s="835"/>
      <c r="B105" s="945"/>
      <c r="C105" s="725"/>
      <c r="D105" s="951" t="str">
        <f t="shared" si="80"/>
        <v xml:space="preserve"> </v>
      </c>
      <c r="E105" s="969" t="str">
        <f t="shared" si="79"/>
        <v xml:space="preserve"> </v>
      </c>
      <c r="F105" s="517" t="str">
        <f t="shared" si="62"/>
        <v xml:space="preserve"> </v>
      </c>
      <c r="G105" s="972" t="str">
        <f t="shared" si="63"/>
        <v xml:space="preserve"> </v>
      </c>
      <c r="H105" s="373" t="str">
        <f t="shared" si="64"/>
        <v xml:space="preserve"> </v>
      </c>
      <c r="I105" s="725"/>
      <c r="J105" s="380"/>
      <c r="K105" s="952" t="str">
        <f t="shared" si="65"/>
        <v xml:space="preserve"> </v>
      </c>
      <c r="L105" s="380"/>
      <c r="M105" s="801" t="str">
        <f t="shared" si="60"/>
        <v xml:space="preserve"> </v>
      </c>
      <c r="N105" s="969" t="str">
        <f t="shared" si="66"/>
        <v xml:space="preserve"> </v>
      </c>
      <c r="O105" s="517" t="str">
        <f t="shared" si="66"/>
        <v xml:space="preserve"> </v>
      </c>
      <c r="P105" s="972" t="str">
        <f t="shared" si="66"/>
        <v xml:space="preserve"> </v>
      </c>
      <c r="Q105" s="373" t="str">
        <f t="shared" si="66"/>
        <v xml:space="preserve"> </v>
      </c>
      <c r="R105" s="380"/>
      <c r="S105" s="380"/>
      <c r="T105" s="975" t="str">
        <f t="shared" si="67"/>
        <v xml:space="preserve"> </v>
      </c>
      <c r="U105" s="725"/>
      <c r="V105" s="921"/>
      <c r="W105" s="1042"/>
      <c r="Y105" s="317">
        <v>36</v>
      </c>
      <c r="AA105" s="999" t="str">
        <f t="shared" si="68"/>
        <v xml:space="preserve"> </v>
      </c>
      <c r="AB105" s="999" t="str">
        <f t="shared" si="69"/>
        <v xml:space="preserve"> </v>
      </c>
      <c r="AC105" s="999" t="str">
        <f t="shared" si="70"/>
        <v xml:space="preserve"> </v>
      </c>
      <c r="AD105" s="999" t="str">
        <f t="shared" si="71"/>
        <v xml:space="preserve"> </v>
      </c>
      <c r="AE105" s="999" t="str">
        <f t="shared" si="72"/>
        <v xml:space="preserve"> </v>
      </c>
      <c r="AF105" s="380"/>
      <c r="AG105" s="999" t="str">
        <f t="shared" si="73"/>
        <v xml:space="preserve"> </v>
      </c>
      <c r="AH105" s="1017" t="str">
        <f>IF(AH106&gt;7,BB111," ")</f>
        <v xml:space="preserve"> </v>
      </c>
      <c r="AI105" s="380"/>
      <c r="AJ105" s="999" t="str">
        <f t="shared" si="61"/>
        <v xml:space="preserve"> </v>
      </c>
      <c r="AK105" s="999" t="str">
        <f t="shared" si="74"/>
        <v xml:space="preserve"> </v>
      </c>
      <c r="AL105" s="999" t="str">
        <f t="shared" si="75"/>
        <v xml:space="preserve"> </v>
      </c>
      <c r="AM105" s="999" t="str">
        <f t="shared" si="76"/>
        <v xml:space="preserve"> </v>
      </c>
      <c r="AN105" s="999" t="str">
        <f t="shared" si="77"/>
        <v xml:space="preserve"> </v>
      </c>
      <c r="AO105" s="380"/>
      <c r="AP105" s="999" t="str">
        <f t="shared" si="78"/>
        <v xml:space="preserve"> </v>
      </c>
      <c r="AQ105" s="1017" t="str">
        <f>IF(AQ106&gt;7,BB111," ")</f>
        <v xml:space="preserve"> </v>
      </c>
      <c r="AR105" s="725"/>
      <c r="AS105" s="9"/>
      <c r="AT105" s="725"/>
      <c r="AU105" s="951" t="s">
        <v>1063</v>
      </c>
      <c r="AV105" s="969">
        <v>15</v>
      </c>
      <c r="AW105" s="517">
        <v>74</v>
      </c>
      <c r="AX105" s="972">
        <v>1110</v>
      </c>
      <c r="AY105" s="373">
        <v>15</v>
      </c>
      <c r="AZ105" s="725"/>
      <c r="BA105" s="380"/>
      <c r="BB105" s="952">
        <v>1110</v>
      </c>
      <c r="BC105" s="380"/>
      <c r="BD105" s="801" t="s">
        <v>1060</v>
      </c>
      <c r="BE105" s="969">
        <v>30</v>
      </c>
      <c r="BF105" s="517">
        <v>64</v>
      </c>
      <c r="BG105" s="972">
        <v>1920</v>
      </c>
      <c r="BH105" s="373">
        <v>15</v>
      </c>
      <c r="BI105" s="380"/>
      <c r="BJ105" s="380"/>
      <c r="BK105" s="975">
        <v>960</v>
      </c>
      <c r="BL105" s="725"/>
    </row>
    <row r="106" spans="1:64" s="3" customFormat="1" ht="15" customHeight="1" x14ac:dyDescent="0.25">
      <c r="A106" s="835"/>
      <c r="B106" s="945"/>
      <c r="C106" s="725"/>
      <c r="D106" s="951" t="str">
        <f t="shared" si="80"/>
        <v xml:space="preserve"> </v>
      </c>
      <c r="E106" s="969" t="str">
        <f t="shared" si="79"/>
        <v xml:space="preserve"> </v>
      </c>
      <c r="F106" s="517" t="str">
        <f t="shared" si="62"/>
        <v xml:space="preserve"> </v>
      </c>
      <c r="G106" s="972" t="str">
        <f t="shared" si="63"/>
        <v xml:space="preserve"> </v>
      </c>
      <c r="H106" s="373" t="str">
        <f t="shared" si="64"/>
        <v xml:space="preserve"> </v>
      </c>
      <c r="I106" s="725"/>
      <c r="J106" s="380"/>
      <c r="K106" s="952" t="str">
        <f t="shared" si="65"/>
        <v xml:space="preserve"> </v>
      </c>
      <c r="L106" s="380"/>
      <c r="M106" s="801" t="str">
        <f t="shared" si="60"/>
        <v xml:space="preserve"> </v>
      </c>
      <c r="N106" s="969" t="str">
        <f t="shared" si="66"/>
        <v xml:space="preserve"> </v>
      </c>
      <c r="O106" s="517" t="str">
        <f t="shared" si="66"/>
        <v xml:space="preserve"> </v>
      </c>
      <c r="P106" s="972" t="str">
        <f t="shared" si="66"/>
        <v xml:space="preserve"> </v>
      </c>
      <c r="Q106" s="373" t="str">
        <f t="shared" si="66"/>
        <v xml:space="preserve"> </v>
      </c>
      <c r="R106" s="380"/>
      <c r="S106" s="380"/>
      <c r="T106" s="975" t="str">
        <f t="shared" si="67"/>
        <v xml:space="preserve"> </v>
      </c>
      <c r="U106" s="725"/>
      <c r="V106" s="921"/>
      <c r="W106" s="1042"/>
      <c r="AA106" s="999" t="str">
        <f t="shared" si="68"/>
        <v xml:space="preserve"> </v>
      </c>
      <c r="AB106" s="999" t="str">
        <f t="shared" si="69"/>
        <v xml:space="preserve"> </v>
      </c>
      <c r="AC106" s="999" t="str">
        <f t="shared" si="70"/>
        <v xml:space="preserve"> </v>
      </c>
      <c r="AD106" s="999" t="str">
        <f t="shared" si="71"/>
        <v xml:space="preserve"> </v>
      </c>
      <c r="AE106" s="999" t="str">
        <f t="shared" si="72"/>
        <v xml:space="preserve"> </v>
      </c>
      <c r="AF106" s="380"/>
      <c r="AG106" s="999" t="str">
        <f t="shared" si="73"/>
        <v xml:space="preserve"> </v>
      </c>
      <c r="AH106" s="1013">
        <f>AH107+AH108</f>
        <v>0</v>
      </c>
      <c r="AI106" s="380"/>
      <c r="AJ106" s="999" t="str">
        <f t="shared" si="61"/>
        <v xml:space="preserve"> </v>
      </c>
      <c r="AK106" s="999" t="str">
        <f t="shared" si="74"/>
        <v xml:space="preserve"> </v>
      </c>
      <c r="AL106" s="999" t="str">
        <f t="shared" si="75"/>
        <v xml:space="preserve"> </v>
      </c>
      <c r="AM106" s="999" t="str">
        <f t="shared" si="76"/>
        <v xml:space="preserve"> </v>
      </c>
      <c r="AN106" s="999" t="str">
        <f t="shared" si="77"/>
        <v xml:space="preserve"> </v>
      </c>
      <c r="AO106" s="380"/>
      <c r="AP106" s="999" t="str">
        <f t="shared" si="78"/>
        <v xml:space="preserve"> </v>
      </c>
      <c r="AQ106" s="1013">
        <f>AQ107+AQ108</f>
        <v>0</v>
      </c>
      <c r="AR106" s="725"/>
      <c r="AS106" s="9"/>
      <c r="AT106" s="725"/>
      <c r="AU106" s="951" t="s">
        <v>1066</v>
      </c>
      <c r="AV106" s="969">
        <v>15</v>
      </c>
      <c r="AW106" s="517">
        <v>75</v>
      </c>
      <c r="AX106" s="972">
        <v>1125</v>
      </c>
      <c r="AY106" s="373">
        <v>15</v>
      </c>
      <c r="AZ106" s="725"/>
      <c r="BA106" s="380"/>
      <c r="BB106" s="952">
        <v>1125</v>
      </c>
      <c r="BC106" s="380"/>
      <c r="BD106" s="801" t="s">
        <v>1063</v>
      </c>
      <c r="BE106" s="969">
        <v>15</v>
      </c>
      <c r="BF106" s="517">
        <v>65</v>
      </c>
      <c r="BG106" s="972">
        <v>975</v>
      </c>
      <c r="BH106" s="373">
        <v>15</v>
      </c>
      <c r="BI106" s="380"/>
      <c r="BJ106" s="380"/>
      <c r="BK106" s="975">
        <v>975</v>
      </c>
      <c r="BL106" s="725"/>
    </row>
    <row r="107" spans="1:64" s="3" customFormat="1" ht="15" customHeight="1" x14ac:dyDescent="0.25">
      <c r="A107" s="835"/>
      <c r="B107" s="945"/>
      <c r="C107" s="725"/>
      <c r="D107" s="951" t="str">
        <f t="shared" si="80"/>
        <v xml:space="preserve"> </v>
      </c>
      <c r="E107" s="969" t="str">
        <f t="shared" si="79"/>
        <v xml:space="preserve"> </v>
      </c>
      <c r="F107" s="517" t="str">
        <f t="shared" si="62"/>
        <v xml:space="preserve"> </v>
      </c>
      <c r="G107" s="972" t="str">
        <f t="shared" si="63"/>
        <v xml:space="preserve"> </v>
      </c>
      <c r="H107" s="373" t="str">
        <f t="shared" si="64"/>
        <v xml:space="preserve"> </v>
      </c>
      <c r="I107" s="725"/>
      <c r="J107" s="380"/>
      <c r="K107" s="952" t="str">
        <f t="shared" si="65"/>
        <v xml:space="preserve"> </v>
      </c>
      <c r="L107" s="951"/>
      <c r="M107" s="801" t="str">
        <f t="shared" si="60"/>
        <v xml:space="preserve"> </v>
      </c>
      <c r="N107" s="969" t="str">
        <f t="shared" si="66"/>
        <v xml:space="preserve"> </v>
      </c>
      <c r="O107" s="517" t="str">
        <f t="shared" si="66"/>
        <v xml:space="preserve"> </v>
      </c>
      <c r="P107" s="972" t="str">
        <f t="shared" si="66"/>
        <v xml:space="preserve"> </v>
      </c>
      <c r="Q107" s="373" t="str">
        <f t="shared" si="66"/>
        <v xml:space="preserve"> </v>
      </c>
      <c r="R107" s="380"/>
      <c r="S107" s="380"/>
      <c r="T107" s="975" t="str">
        <f t="shared" si="67"/>
        <v xml:space="preserve"> </v>
      </c>
      <c r="U107" s="725"/>
      <c r="V107" s="921"/>
      <c r="W107" s="1042"/>
      <c r="Y107" s="3" t="e">
        <f>CODE(S94)</f>
        <v>#VALUE!</v>
      </c>
      <c r="AA107" s="999" t="str">
        <f t="shared" si="68"/>
        <v xml:space="preserve"> </v>
      </c>
      <c r="AB107" s="999" t="str">
        <f t="shared" si="69"/>
        <v xml:space="preserve"> </v>
      </c>
      <c r="AC107" s="999" t="str">
        <f t="shared" si="70"/>
        <v xml:space="preserve"> </v>
      </c>
      <c r="AD107" s="999" t="str">
        <f t="shared" si="71"/>
        <v xml:space="preserve"> </v>
      </c>
      <c r="AE107" s="999" t="str">
        <f t="shared" si="72"/>
        <v xml:space="preserve"> </v>
      </c>
      <c r="AF107" s="380"/>
      <c r="AG107" s="999" t="str">
        <f t="shared" si="73"/>
        <v xml:space="preserve"> </v>
      </c>
      <c r="AH107" s="1012">
        <f>LEN(K109)</f>
        <v>0</v>
      </c>
      <c r="AI107" s="951">
        <f>AH107+Y73</f>
        <v>0</v>
      </c>
      <c r="AJ107" s="999" t="str">
        <f t="shared" si="61"/>
        <v xml:space="preserve"> </v>
      </c>
      <c r="AK107" s="999" t="str">
        <f t="shared" si="74"/>
        <v xml:space="preserve"> </v>
      </c>
      <c r="AL107" s="999" t="str">
        <f t="shared" si="75"/>
        <v xml:space="preserve"> </v>
      </c>
      <c r="AM107" s="999" t="str">
        <f t="shared" si="76"/>
        <v xml:space="preserve"> </v>
      </c>
      <c r="AN107" s="999" t="str">
        <f t="shared" si="77"/>
        <v xml:space="preserve"> </v>
      </c>
      <c r="AO107" s="380"/>
      <c r="AP107" s="999" t="str">
        <f t="shared" si="78"/>
        <v xml:space="preserve"> </v>
      </c>
      <c r="AQ107" s="1012">
        <f>LEN(T109)</f>
        <v>0</v>
      </c>
      <c r="AR107" s="951">
        <f>AQ107+Y73</f>
        <v>0</v>
      </c>
      <c r="AS107" s="9"/>
      <c r="AT107" s="725"/>
      <c r="AU107" s="951" t="s">
        <v>1069</v>
      </c>
      <c r="AV107" s="969">
        <v>15</v>
      </c>
      <c r="AW107" s="517">
        <v>75</v>
      </c>
      <c r="AX107" s="972">
        <v>1125</v>
      </c>
      <c r="AY107" s="373">
        <v>15</v>
      </c>
      <c r="AZ107" s="725"/>
      <c r="BA107" s="380"/>
      <c r="BB107" s="952">
        <v>1125</v>
      </c>
      <c r="BC107" s="951"/>
      <c r="BD107" s="801" t="s">
        <v>1066</v>
      </c>
      <c r="BE107" s="969">
        <v>15</v>
      </c>
      <c r="BF107" s="517">
        <v>67</v>
      </c>
      <c r="BG107" s="972">
        <v>1005</v>
      </c>
      <c r="BH107" s="373">
        <v>15</v>
      </c>
      <c r="BI107" s="380"/>
      <c r="BJ107" s="380"/>
      <c r="BK107" s="975">
        <v>1005</v>
      </c>
      <c r="BL107" s="725"/>
    </row>
    <row r="108" spans="1:64" s="3" customFormat="1" ht="15" customHeight="1" x14ac:dyDescent="0.25">
      <c r="A108" s="835"/>
      <c r="B108" s="945"/>
      <c r="C108" s="725"/>
      <c r="D108" s="963" t="str">
        <f t="shared" si="80"/>
        <v xml:space="preserve"> </v>
      </c>
      <c r="E108" s="970" t="str">
        <f t="shared" si="79"/>
        <v xml:space="preserve"> </v>
      </c>
      <c r="F108" s="957" t="str">
        <f t="shared" si="62"/>
        <v xml:space="preserve"> </v>
      </c>
      <c r="G108" s="973" t="str">
        <f t="shared" si="63"/>
        <v xml:space="preserve"> </v>
      </c>
      <c r="H108" s="919" t="str">
        <f t="shared" si="64"/>
        <v xml:space="preserve"> </v>
      </c>
      <c r="I108" s="831"/>
      <c r="J108" s="951"/>
      <c r="K108" s="952" t="str">
        <f t="shared" si="65"/>
        <v xml:space="preserve"> </v>
      </c>
      <c r="L108" s="951"/>
      <c r="M108" s="963" t="str">
        <f t="shared" si="60"/>
        <v xml:space="preserve"> </v>
      </c>
      <c r="N108" s="970" t="str">
        <f t="shared" si="66"/>
        <v xml:space="preserve"> </v>
      </c>
      <c r="O108" s="957" t="str">
        <f t="shared" si="66"/>
        <v xml:space="preserve"> </v>
      </c>
      <c r="P108" s="973" t="str">
        <f t="shared" si="66"/>
        <v xml:space="preserve"> </v>
      </c>
      <c r="Q108" s="919" t="str">
        <f t="shared" si="66"/>
        <v xml:space="preserve"> </v>
      </c>
      <c r="R108" s="951"/>
      <c r="S108" s="951"/>
      <c r="T108" s="952" t="str">
        <f t="shared" si="67"/>
        <v xml:space="preserve"> </v>
      </c>
      <c r="U108" s="725"/>
      <c r="V108" s="921"/>
      <c r="W108" s="1042"/>
      <c r="X108" s="122"/>
      <c r="AA108" s="999" t="str">
        <f t="shared" si="68"/>
        <v xml:space="preserve"> </v>
      </c>
      <c r="AB108" s="999" t="str">
        <f t="shared" si="69"/>
        <v xml:space="preserve"> </v>
      </c>
      <c r="AC108" s="999" t="str">
        <f t="shared" si="70"/>
        <v xml:space="preserve"> </v>
      </c>
      <c r="AD108" s="999" t="str">
        <f t="shared" si="71"/>
        <v xml:space="preserve"> </v>
      </c>
      <c r="AE108" s="999" t="str">
        <f t="shared" si="72"/>
        <v xml:space="preserve"> </v>
      </c>
      <c r="AF108" s="963"/>
      <c r="AG108" s="999" t="str">
        <f t="shared" si="73"/>
        <v xml:space="preserve"> </v>
      </c>
      <c r="AH108" s="1012">
        <f>LEN(K110)</f>
        <v>0</v>
      </c>
      <c r="AI108" s="951">
        <f>AH108+Y73</f>
        <v>0</v>
      </c>
      <c r="AJ108" s="999" t="str">
        <f t="shared" si="61"/>
        <v xml:space="preserve"> </v>
      </c>
      <c r="AK108" s="999" t="str">
        <f t="shared" si="74"/>
        <v xml:space="preserve"> </v>
      </c>
      <c r="AL108" s="999" t="str">
        <f t="shared" si="75"/>
        <v xml:space="preserve"> </v>
      </c>
      <c r="AM108" s="999" t="str">
        <f t="shared" si="76"/>
        <v xml:space="preserve"> </v>
      </c>
      <c r="AN108" s="999" t="str">
        <f t="shared" si="77"/>
        <v xml:space="preserve"> </v>
      </c>
      <c r="AO108" s="963"/>
      <c r="AP108" s="999" t="str">
        <f t="shared" si="78"/>
        <v xml:space="preserve"> </v>
      </c>
      <c r="AQ108" s="1012">
        <f>LEN(T110)</f>
        <v>0</v>
      </c>
      <c r="AR108" s="951">
        <f>AQ108+Y73</f>
        <v>0</v>
      </c>
      <c r="AT108" s="725"/>
      <c r="AU108" s="963" t="s">
        <v>1072</v>
      </c>
      <c r="AV108" s="970">
        <v>15</v>
      </c>
      <c r="AW108" s="957">
        <v>81</v>
      </c>
      <c r="AX108" s="973">
        <v>1215</v>
      </c>
      <c r="AY108" s="919">
        <v>15</v>
      </c>
      <c r="AZ108" s="958"/>
      <c r="BA108" s="963"/>
      <c r="BB108" s="959">
        <v>1215</v>
      </c>
      <c r="BC108" s="963"/>
      <c r="BD108" s="174" t="s">
        <v>1072</v>
      </c>
      <c r="BE108" s="970">
        <v>15</v>
      </c>
      <c r="BF108" s="957">
        <v>67</v>
      </c>
      <c r="BG108" s="973">
        <v>1005</v>
      </c>
      <c r="BH108" s="919">
        <v>15</v>
      </c>
      <c r="BI108" s="963"/>
      <c r="BJ108" s="963"/>
      <c r="BK108" s="975">
        <v>1005</v>
      </c>
      <c r="BL108" s="725"/>
    </row>
    <row r="109" spans="1:64" s="3" customFormat="1" ht="15" customHeight="1" x14ac:dyDescent="0.25">
      <c r="A109" s="835"/>
      <c r="B109" s="945"/>
      <c r="C109" s="725"/>
      <c r="D109" s="801"/>
      <c r="E109" s="969" t="str">
        <f t="shared" si="79"/>
        <v xml:space="preserve"> </v>
      </c>
      <c r="F109" s="964" t="str">
        <f t="shared" si="62"/>
        <v xml:space="preserve"> </v>
      </c>
      <c r="G109" s="972" t="str">
        <f t="shared" si="63"/>
        <v xml:space="preserve"> </v>
      </c>
      <c r="H109" s="373" t="str">
        <f t="shared" si="64"/>
        <v xml:space="preserve"> </v>
      </c>
      <c r="I109" s="725"/>
      <c r="J109" s="846" t="str">
        <f>AF109</f>
        <v xml:space="preserve"> </v>
      </c>
      <c r="K109" s="1011"/>
      <c r="L109" s="981" t="str">
        <f>AI109</f>
        <v xml:space="preserve"> </v>
      </c>
      <c r="M109" s="801"/>
      <c r="N109" s="969" t="str">
        <f t="shared" si="66"/>
        <v xml:space="preserve"> </v>
      </c>
      <c r="O109" s="964" t="str">
        <f t="shared" si="66"/>
        <v xml:space="preserve"> </v>
      </c>
      <c r="P109" s="972" t="str">
        <f t="shared" si="66"/>
        <v xml:space="preserve"> </v>
      </c>
      <c r="Q109" s="373" t="str">
        <f t="shared" si="66"/>
        <v xml:space="preserve"> </v>
      </c>
      <c r="R109" s="725"/>
      <c r="S109" s="846" t="str">
        <f>AO109</f>
        <v xml:space="preserve"> </v>
      </c>
      <c r="T109" s="1011"/>
      <c r="U109" s="981" t="str">
        <f>AR109</f>
        <v xml:space="preserve"> </v>
      </c>
      <c r="V109" s="921"/>
      <c r="W109" s="1042"/>
      <c r="AA109" s="801"/>
      <c r="AB109" s="999" t="str">
        <f t="shared" si="69"/>
        <v xml:space="preserve"> </v>
      </c>
      <c r="AC109" s="999" t="str">
        <f t="shared" si="70"/>
        <v xml:space="preserve"> </v>
      </c>
      <c r="AD109" s="999" t="str">
        <f t="shared" si="71"/>
        <v xml:space="preserve"> </v>
      </c>
      <c r="AE109" s="999" t="str">
        <f t="shared" si="72"/>
        <v xml:space="preserve"> </v>
      </c>
      <c r="AF109" s="999" t="str">
        <f>IF($Y$91&gt;=20,BA109," ")</f>
        <v xml:space="preserve"> </v>
      </c>
      <c r="AG109" s="999">
        <v>7365</v>
      </c>
      <c r="AH109" s="1014" t="str">
        <f>IF(K109=AG109,"P","O")</f>
        <v>O</v>
      </c>
      <c r="AI109" s="985" t="str">
        <f>IF(AI107&gt;=8,AH109," ")</f>
        <v xml:space="preserve"> </v>
      </c>
      <c r="AJ109" s="801"/>
      <c r="AK109" s="999" t="str">
        <f t="shared" si="74"/>
        <v xml:space="preserve"> </v>
      </c>
      <c r="AL109" s="999" t="str">
        <f t="shared" si="75"/>
        <v xml:space="preserve"> </v>
      </c>
      <c r="AM109" s="999" t="str">
        <f t="shared" si="76"/>
        <v xml:space="preserve"> </v>
      </c>
      <c r="AN109" s="999" t="str">
        <f t="shared" si="77"/>
        <v xml:space="preserve"> </v>
      </c>
      <c r="AO109" s="999" t="str">
        <f>IF($Y$91&gt;=20,BJ109," ")</f>
        <v xml:space="preserve"> </v>
      </c>
      <c r="AP109" s="999">
        <v>6495</v>
      </c>
      <c r="AQ109" s="1014" t="str">
        <f>IF(T109=AP109,"P","O")</f>
        <v>O</v>
      </c>
      <c r="AR109" s="985" t="str">
        <f>IF(AR107&gt;=8,AQ109," ")</f>
        <v xml:space="preserve"> </v>
      </c>
      <c r="AT109" s="725"/>
      <c r="AU109" s="801"/>
      <c r="AV109" s="969">
        <v>120</v>
      </c>
      <c r="AW109" s="964" t="s">
        <v>515</v>
      </c>
      <c r="AX109" s="972">
        <v>8685</v>
      </c>
      <c r="AY109" s="373">
        <v>100</v>
      </c>
      <c r="AZ109" s="725"/>
      <c r="BA109" s="846" t="s">
        <v>1103</v>
      </c>
      <c r="BB109" s="978">
        <v>7365</v>
      </c>
      <c r="BC109" s="981" t="s">
        <v>32</v>
      </c>
      <c r="BD109" s="801"/>
      <c r="BE109" s="969">
        <v>120</v>
      </c>
      <c r="BF109" s="964" t="s">
        <v>515</v>
      </c>
      <c r="BG109" s="972">
        <v>7755</v>
      </c>
      <c r="BH109" s="373">
        <v>100</v>
      </c>
      <c r="BI109" s="725"/>
      <c r="BJ109" s="846" t="s">
        <v>1103</v>
      </c>
      <c r="BK109" s="976">
        <v>6495</v>
      </c>
      <c r="BL109" s="981" t="s">
        <v>552</v>
      </c>
    </row>
    <row r="110" spans="1:64" s="3" customFormat="1" ht="15" customHeight="1" x14ac:dyDescent="0.25">
      <c r="A110" s="835"/>
      <c r="B110" s="945"/>
      <c r="C110" s="725"/>
      <c r="D110" s="801"/>
      <c r="E110" s="801"/>
      <c r="F110" s="964" t="str">
        <f t="shared" si="62"/>
        <v xml:space="preserve"> </v>
      </c>
      <c r="G110" s="974" t="str">
        <f t="shared" si="63"/>
        <v xml:space="preserve"> </v>
      </c>
      <c r="H110" s="380"/>
      <c r="I110" s="725"/>
      <c r="J110" s="846" t="str">
        <f>AF110</f>
        <v xml:space="preserve"> </v>
      </c>
      <c r="K110" s="1109"/>
      <c r="L110" s="981" t="str">
        <f>AI110</f>
        <v xml:space="preserve"> </v>
      </c>
      <c r="M110" s="801"/>
      <c r="N110" s="801"/>
      <c r="O110" s="964" t="str">
        <f>AL110</f>
        <v xml:space="preserve"> </v>
      </c>
      <c r="P110" s="971" t="str">
        <f>AM110</f>
        <v xml:space="preserve"> </v>
      </c>
      <c r="Q110" s="380"/>
      <c r="R110" s="725"/>
      <c r="S110" s="846" t="str">
        <f>AO110</f>
        <v xml:space="preserve"> </v>
      </c>
      <c r="T110" s="1038"/>
      <c r="U110" s="981" t="str">
        <f>AR110</f>
        <v xml:space="preserve"> </v>
      </c>
      <c r="V110" s="921"/>
      <c r="W110" s="1042"/>
      <c r="AA110" s="801"/>
      <c r="AB110" s="999" t="str">
        <f t="shared" ref="AB110" si="81">IF($Y$73=4,AV110," ")</f>
        <v xml:space="preserve"> </v>
      </c>
      <c r="AC110" s="999" t="str">
        <f t="shared" si="70"/>
        <v xml:space="preserve"> </v>
      </c>
      <c r="AD110" s="999" t="str">
        <f t="shared" si="71"/>
        <v xml:space="preserve"> </v>
      </c>
      <c r="AE110" s="999" t="str">
        <f t="shared" si="72"/>
        <v xml:space="preserve"> </v>
      </c>
      <c r="AF110" s="999" t="str">
        <f>IF($Y$91&gt;=20,BA110," ")</f>
        <v xml:space="preserve"> </v>
      </c>
      <c r="AG110" s="999">
        <v>73.650000000000006</v>
      </c>
      <c r="AH110" s="1014" t="str">
        <f>IF(K110=AG110,"P","O")</f>
        <v>O</v>
      </c>
      <c r="AI110" s="985" t="str">
        <f>IF(AI108&gt;=8,AH110," ")</f>
        <v xml:space="preserve"> </v>
      </c>
      <c r="AJ110" s="801"/>
      <c r="AK110" s="999" t="str">
        <f t="shared" si="74"/>
        <v xml:space="preserve"> </v>
      </c>
      <c r="AL110" s="999" t="str">
        <f t="shared" si="75"/>
        <v xml:space="preserve"> </v>
      </c>
      <c r="AM110" s="999" t="str">
        <f t="shared" si="76"/>
        <v xml:space="preserve"> </v>
      </c>
      <c r="AN110" s="999" t="str">
        <f t="shared" si="77"/>
        <v xml:space="preserve"> </v>
      </c>
      <c r="AO110" s="999" t="str">
        <f>IF($Y$91&gt;=20,BJ110," ")</f>
        <v xml:space="preserve"> </v>
      </c>
      <c r="AP110" s="999">
        <v>64.95</v>
      </c>
      <c r="AQ110" s="1014" t="str">
        <f>IF(T110=AP110,"P","O")</f>
        <v>O</v>
      </c>
      <c r="AR110" s="985" t="str">
        <f>IF(AR108&gt;=8,AQ110," ")</f>
        <v xml:space="preserve"> </v>
      </c>
      <c r="AT110" s="725"/>
      <c r="AU110" s="801"/>
      <c r="AV110" s="801"/>
      <c r="AW110" s="964" t="s">
        <v>1096</v>
      </c>
      <c r="AX110" s="974">
        <v>72.37</v>
      </c>
      <c r="AY110" s="380"/>
      <c r="AZ110" s="725"/>
      <c r="BA110" s="846" t="s">
        <v>1104</v>
      </c>
      <c r="BB110" s="979">
        <v>73.650000000000006</v>
      </c>
      <c r="BC110" s="981" t="s">
        <v>32</v>
      </c>
      <c r="BD110" s="801"/>
      <c r="BE110" s="801"/>
      <c r="BF110" s="964" t="s">
        <v>1096</v>
      </c>
      <c r="BG110" s="971">
        <v>64.63</v>
      </c>
      <c r="BH110" s="380"/>
      <c r="BI110" s="725"/>
      <c r="BJ110" s="846" t="s">
        <v>1104</v>
      </c>
      <c r="BK110" s="980">
        <v>64.95</v>
      </c>
      <c r="BL110" s="981" t="s">
        <v>32</v>
      </c>
    </row>
    <row r="111" spans="1:64" s="3" customFormat="1" ht="15" customHeight="1" x14ac:dyDescent="0.25">
      <c r="A111" s="835"/>
      <c r="B111" s="945"/>
      <c r="C111" s="725"/>
      <c r="D111" s="725"/>
      <c r="E111" s="725"/>
      <c r="F111" s="725"/>
      <c r="G111" s="725"/>
      <c r="H111" s="725"/>
      <c r="I111" s="725"/>
      <c r="J111" s="725"/>
      <c r="K111" s="1022" t="str">
        <f>AH102</f>
        <v xml:space="preserve"> </v>
      </c>
      <c r="L111" s="725"/>
      <c r="M111" s="725"/>
      <c r="N111" s="725"/>
      <c r="O111" s="725"/>
      <c r="P111" s="725"/>
      <c r="Q111" s="725"/>
      <c r="R111" s="725"/>
      <c r="S111" s="725"/>
      <c r="T111" s="725"/>
      <c r="U111" s="725"/>
      <c r="V111" s="921"/>
      <c r="W111" s="1042"/>
      <c r="Z111" s="9" t="s">
        <v>1116</v>
      </c>
      <c r="AA111" s="725"/>
      <c r="AB111" s="725"/>
      <c r="AC111" s="725"/>
      <c r="AD111" s="725"/>
      <c r="AE111" s="725"/>
      <c r="AF111" s="725"/>
      <c r="AG111" s="725"/>
      <c r="AH111" s="725" t="s">
        <v>1108</v>
      </c>
      <c r="AI111" s="725"/>
      <c r="AJ111" s="725"/>
      <c r="AK111" s="725"/>
      <c r="AL111" s="725"/>
      <c r="AM111" s="725"/>
      <c r="AN111" s="725"/>
      <c r="AO111" s="725"/>
      <c r="AP111" s="725"/>
      <c r="AQ111" s="725"/>
      <c r="AR111" s="725"/>
      <c r="AT111" s="725"/>
      <c r="AU111" s="725"/>
      <c r="AV111" s="725"/>
      <c r="AW111" s="725"/>
      <c r="AX111" s="725"/>
      <c r="AY111" s="725"/>
      <c r="AZ111" s="725"/>
      <c r="BA111" s="725"/>
      <c r="BB111" s="725" t="s">
        <v>1108</v>
      </c>
      <c r="BC111" s="725"/>
      <c r="BD111" s="725"/>
      <c r="BE111" s="725"/>
      <c r="BF111" s="725"/>
      <c r="BG111" s="725"/>
      <c r="BH111" s="725"/>
      <c r="BI111" s="725"/>
      <c r="BJ111" s="725"/>
      <c r="BK111" s="725"/>
      <c r="BL111" s="725"/>
    </row>
    <row r="112" spans="1:64" s="3" customFormat="1" ht="15" customHeight="1" x14ac:dyDescent="0.25">
      <c r="A112" s="835"/>
      <c r="B112" s="945"/>
      <c r="C112" s="826" t="s">
        <v>1106</v>
      </c>
      <c r="D112" s="725"/>
      <c r="E112" s="725"/>
      <c r="F112" s="725"/>
      <c r="G112" s="725"/>
      <c r="H112" s="725"/>
      <c r="I112" s="725"/>
      <c r="J112" s="725"/>
      <c r="K112" s="725"/>
      <c r="L112" s="725"/>
      <c r="M112" s="725"/>
      <c r="N112" s="725"/>
      <c r="O112" s="725"/>
      <c r="P112" s="725"/>
      <c r="Q112" s="725"/>
      <c r="R112" s="725"/>
      <c r="S112" s="725"/>
      <c r="T112" s="725"/>
      <c r="U112" s="725"/>
      <c r="V112" s="921"/>
      <c r="W112" s="1042"/>
      <c r="Z112" s="999" t="str">
        <f>IF($Y$104&gt;=36,AT112," ")</f>
        <v xml:space="preserve"> </v>
      </c>
      <c r="AT112" s="826" t="s">
        <v>1106</v>
      </c>
      <c r="AU112" s="725"/>
      <c r="AV112" s="725"/>
      <c r="AW112" s="725"/>
      <c r="AX112" s="725"/>
      <c r="AY112" s="725"/>
      <c r="AZ112" s="725"/>
      <c r="BA112" s="725"/>
      <c r="BB112" s="725"/>
      <c r="BC112" s="725"/>
      <c r="BD112" s="725"/>
      <c r="BE112" s="725"/>
      <c r="BF112" s="725"/>
      <c r="BG112" s="725"/>
      <c r="BH112" s="725"/>
      <c r="BI112" s="725"/>
      <c r="BJ112" s="725"/>
      <c r="BK112" s="725"/>
      <c r="BL112" s="725"/>
    </row>
    <row r="113" spans="1:64" s="3" customFormat="1" ht="15" customHeight="1" x14ac:dyDescent="0.25">
      <c r="A113" s="835"/>
      <c r="B113" s="831"/>
      <c r="C113" s="725" t="str">
        <f>Z113</f>
        <v xml:space="preserve"> </v>
      </c>
      <c r="D113" s="725"/>
      <c r="E113" s="725"/>
      <c r="F113" s="725"/>
      <c r="G113" s="725"/>
      <c r="H113" s="725"/>
      <c r="I113" s="725"/>
      <c r="J113" s="725"/>
      <c r="K113" s="725"/>
      <c r="L113" s="725"/>
      <c r="M113" s="725"/>
      <c r="N113" s="725"/>
      <c r="O113" s="725"/>
      <c r="P113" s="725"/>
      <c r="Q113" s="725"/>
      <c r="R113" s="725"/>
      <c r="S113" s="725"/>
      <c r="T113" s="725"/>
      <c r="U113" s="725"/>
      <c r="V113" s="921"/>
      <c r="W113" s="1042"/>
      <c r="Z113" s="999" t="str">
        <f>IF($Y$104&gt;=36,AT113," ")</f>
        <v xml:space="preserve"> </v>
      </c>
      <c r="AT113" s="725" t="s">
        <v>1107</v>
      </c>
      <c r="AU113" s="725"/>
      <c r="AV113" s="725"/>
      <c r="AW113" s="725"/>
      <c r="AX113" s="725"/>
      <c r="AY113" s="725"/>
      <c r="AZ113" s="725"/>
      <c r="BA113" s="725"/>
      <c r="BB113" s="725"/>
      <c r="BC113" s="725"/>
      <c r="BD113" s="725"/>
      <c r="BE113" s="725"/>
      <c r="BF113" s="725"/>
      <c r="BG113" s="725"/>
      <c r="BH113" s="725"/>
      <c r="BI113" s="725"/>
      <c r="BJ113" s="725"/>
      <c r="BK113" s="725"/>
      <c r="BL113" s="725"/>
    </row>
    <row r="114" spans="1:64" s="3" customFormat="1" ht="6" customHeight="1" x14ac:dyDescent="0.25">
      <c r="A114" s="835"/>
      <c r="B114" s="831"/>
      <c r="C114" s="725"/>
      <c r="D114" s="725"/>
      <c r="E114" s="725"/>
      <c r="F114" s="725"/>
      <c r="G114" s="725"/>
      <c r="H114" s="725"/>
      <c r="I114" s="725"/>
      <c r="J114" s="725"/>
      <c r="K114" s="725"/>
      <c r="L114" s="725"/>
      <c r="M114" s="725"/>
      <c r="N114" s="725"/>
      <c r="O114" s="725"/>
      <c r="P114" s="725"/>
      <c r="Q114" s="725"/>
      <c r="R114" s="725"/>
      <c r="S114" s="725"/>
      <c r="T114" s="725"/>
      <c r="U114" s="725"/>
      <c r="V114" s="921"/>
      <c r="W114" s="1042"/>
      <c r="X114" s="942"/>
      <c r="AT114" s="725"/>
      <c r="AU114" s="725"/>
      <c r="AV114" s="725"/>
      <c r="AW114" s="725"/>
      <c r="AX114" s="725"/>
      <c r="AY114" s="725"/>
      <c r="AZ114" s="725"/>
      <c r="BA114" s="725"/>
      <c r="BB114" s="725"/>
      <c r="BC114" s="725"/>
      <c r="BD114" s="725"/>
      <c r="BE114" s="725"/>
      <c r="BF114" s="725"/>
      <c r="BG114" s="725"/>
      <c r="BH114" s="725"/>
      <c r="BI114" s="725"/>
      <c r="BJ114" s="725"/>
      <c r="BK114" s="725"/>
      <c r="BL114" s="725"/>
    </row>
    <row r="115" spans="1:64" s="3" customFormat="1" ht="15" customHeight="1" x14ac:dyDescent="0.25">
      <c r="A115" s="835"/>
      <c r="B115" s="831"/>
      <c r="C115" s="928" t="str">
        <f>Z115</f>
        <v xml:space="preserve"> </v>
      </c>
      <c r="D115" s="1421" t="str">
        <f>AA115</f>
        <v xml:space="preserve"> </v>
      </c>
      <c r="E115" s="1421"/>
      <c r="F115" s="1421"/>
      <c r="G115" s="1421"/>
      <c r="H115" s="1421"/>
      <c r="I115" s="1421"/>
      <c r="J115" s="1421"/>
      <c r="K115" s="1421"/>
      <c r="L115" s="1421"/>
      <c r="M115" s="1421"/>
      <c r="N115" s="1421"/>
      <c r="O115" s="1421"/>
      <c r="P115" s="1421"/>
      <c r="Q115" s="1421"/>
      <c r="R115" s="1421"/>
      <c r="S115" s="1421"/>
      <c r="T115" s="1421"/>
      <c r="U115" s="725"/>
      <c r="V115" s="921"/>
      <c r="W115" s="1042"/>
      <c r="Z115" s="999" t="str">
        <f>IF($Y$104&gt;=36,AT115," ")</f>
        <v xml:space="preserve"> </v>
      </c>
      <c r="AA115" s="999" t="str">
        <f>IF($Y$104&gt;=36,AU115," ")</f>
        <v xml:space="preserve"> </v>
      </c>
      <c r="AT115" s="928">
        <v>1</v>
      </c>
      <c r="AU115" s="1421" t="s">
        <v>1136</v>
      </c>
      <c r="AV115" s="1421"/>
      <c r="AW115" s="1421"/>
      <c r="AX115" s="1421"/>
      <c r="AY115" s="1421"/>
      <c r="AZ115" s="1421"/>
      <c r="BA115" s="1421"/>
      <c r="BB115" s="1421"/>
      <c r="BC115" s="1421"/>
      <c r="BD115" s="1421"/>
      <c r="BE115" s="1421"/>
      <c r="BF115" s="1421"/>
      <c r="BG115" s="1421"/>
      <c r="BH115" s="1421"/>
      <c r="BI115" s="1421"/>
      <c r="BJ115" s="1421"/>
      <c r="BK115" s="1421"/>
      <c r="BL115" s="725"/>
    </row>
    <row r="116" spans="1:64" s="3" customFormat="1" ht="15" customHeight="1" x14ac:dyDescent="0.25">
      <c r="A116" s="835"/>
      <c r="B116" s="831"/>
      <c r="C116" s="725"/>
      <c r="D116" s="1421"/>
      <c r="E116" s="1421"/>
      <c r="F116" s="1421"/>
      <c r="G116" s="1421"/>
      <c r="H116" s="1421"/>
      <c r="I116" s="1421"/>
      <c r="J116" s="1421"/>
      <c r="K116" s="1421"/>
      <c r="L116" s="1421"/>
      <c r="M116" s="1421"/>
      <c r="N116" s="1421"/>
      <c r="O116" s="1421"/>
      <c r="P116" s="1421"/>
      <c r="Q116" s="1421"/>
      <c r="R116" s="1421"/>
      <c r="S116" s="1421"/>
      <c r="T116" s="1421"/>
      <c r="U116" s="725"/>
      <c r="V116" s="921"/>
      <c r="W116" s="1042"/>
      <c r="AT116" s="725"/>
      <c r="AU116" s="1421"/>
      <c r="AV116" s="1421"/>
      <c r="AW116" s="1421"/>
      <c r="AX116" s="1421"/>
      <c r="AY116" s="1421"/>
      <c r="AZ116" s="1421"/>
      <c r="BA116" s="1421"/>
      <c r="BB116" s="1421"/>
      <c r="BC116" s="1421"/>
      <c r="BD116" s="1421"/>
      <c r="BE116" s="1421"/>
      <c r="BF116" s="1421"/>
      <c r="BG116" s="1421"/>
      <c r="BH116" s="1421"/>
      <c r="BI116" s="1421"/>
      <c r="BJ116" s="1421"/>
      <c r="BK116" s="1421"/>
      <c r="BL116" s="725"/>
    </row>
    <row r="117" spans="1:64" s="3" customFormat="1" ht="15" customHeight="1" x14ac:dyDescent="0.25">
      <c r="A117" s="835"/>
      <c r="B117" s="831"/>
      <c r="C117" s="928" t="str">
        <f>Z117</f>
        <v xml:space="preserve"> </v>
      </c>
      <c r="D117" s="1437" t="str">
        <f>AA117</f>
        <v xml:space="preserve"> </v>
      </c>
      <c r="E117" s="1437"/>
      <c r="F117" s="1437"/>
      <c r="G117" s="1437"/>
      <c r="H117" s="1437"/>
      <c r="I117" s="1437"/>
      <c r="J117" s="1437"/>
      <c r="K117" s="1437"/>
      <c r="L117" s="1437"/>
      <c r="M117" s="1437"/>
      <c r="N117" s="1437"/>
      <c r="O117" s="1437"/>
      <c r="P117" s="1437"/>
      <c r="Q117" s="1437"/>
      <c r="R117" s="1437"/>
      <c r="S117" s="1437"/>
      <c r="T117" s="1437"/>
      <c r="U117" s="725"/>
      <c r="V117" s="921"/>
      <c r="W117" s="1042"/>
      <c r="Z117" s="999" t="str">
        <f>IF($Y$104&gt;=36,AT117," ")</f>
        <v xml:space="preserve"> </v>
      </c>
      <c r="AA117" s="999" t="str">
        <f>IF($Y$104&gt;=36,AU117," ")</f>
        <v xml:space="preserve"> </v>
      </c>
      <c r="AT117" s="928">
        <v>2</v>
      </c>
      <c r="AU117" s="1437" t="s">
        <v>1152</v>
      </c>
      <c r="AV117" s="1437"/>
      <c r="AW117" s="1437"/>
      <c r="AX117" s="1437"/>
      <c r="AY117" s="1437"/>
      <c r="AZ117" s="1437"/>
      <c r="BA117" s="1437"/>
      <c r="BB117" s="1437"/>
      <c r="BC117" s="1437"/>
      <c r="BD117" s="1437"/>
      <c r="BE117" s="1437"/>
      <c r="BF117" s="1437"/>
      <c r="BG117" s="1437"/>
      <c r="BH117" s="1437"/>
      <c r="BI117" s="1437"/>
      <c r="BJ117" s="1437"/>
      <c r="BK117" s="1437"/>
      <c r="BL117" s="725"/>
    </row>
    <row r="118" spans="1:64" s="3" customFormat="1" ht="15" customHeight="1" x14ac:dyDescent="0.25">
      <c r="A118" s="835"/>
      <c r="B118" s="831"/>
      <c r="C118" s="725"/>
      <c r="D118" s="1437"/>
      <c r="E118" s="1437"/>
      <c r="F118" s="1437"/>
      <c r="G118" s="1437"/>
      <c r="H118" s="1437"/>
      <c r="I118" s="1437"/>
      <c r="J118" s="1437"/>
      <c r="K118" s="1437"/>
      <c r="L118" s="1437"/>
      <c r="M118" s="1437"/>
      <c r="N118" s="1437"/>
      <c r="O118" s="1437"/>
      <c r="P118" s="1437"/>
      <c r="Q118" s="1437"/>
      <c r="R118" s="1437"/>
      <c r="S118" s="1437"/>
      <c r="T118" s="1437"/>
      <c r="U118" s="725"/>
      <c r="V118" s="921"/>
      <c r="W118" s="1042"/>
      <c r="AT118" s="725"/>
      <c r="AU118" s="1437"/>
      <c r="AV118" s="1437"/>
      <c r="AW118" s="1437"/>
      <c r="AX118" s="1437"/>
      <c r="AY118" s="1437"/>
      <c r="AZ118" s="1437"/>
      <c r="BA118" s="1437"/>
      <c r="BB118" s="1437"/>
      <c r="BC118" s="1437"/>
      <c r="BD118" s="1437"/>
      <c r="BE118" s="1437"/>
      <c r="BF118" s="1437"/>
      <c r="BG118" s="1437"/>
      <c r="BH118" s="1437"/>
      <c r="BI118" s="1437"/>
      <c r="BJ118" s="1437"/>
      <c r="BK118" s="1437"/>
      <c r="BL118" s="725"/>
    </row>
    <row r="119" spans="1:64" s="3" customFormat="1" ht="15" customHeight="1" x14ac:dyDescent="0.25">
      <c r="A119" s="835"/>
      <c r="B119" s="831"/>
      <c r="C119" s="725"/>
      <c r="D119" s="1437"/>
      <c r="E119" s="1437"/>
      <c r="F119" s="1437"/>
      <c r="G119" s="1437"/>
      <c r="H119" s="1437"/>
      <c r="I119" s="1437"/>
      <c r="J119" s="1437"/>
      <c r="K119" s="1437"/>
      <c r="L119" s="1437"/>
      <c r="M119" s="1437"/>
      <c r="N119" s="1437"/>
      <c r="O119" s="1437"/>
      <c r="P119" s="1437"/>
      <c r="Q119" s="1437"/>
      <c r="R119" s="1437"/>
      <c r="S119" s="1437"/>
      <c r="T119" s="1437"/>
      <c r="U119" s="725"/>
      <c r="V119" s="921"/>
      <c r="W119" s="1042"/>
      <c r="AT119" s="725"/>
      <c r="AU119" s="1437"/>
      <c r="AV119" s="1437"/>
      <c r="AW119" s="1437"/>
      <c r="AX119" s="1437"/>
      <c r="AY119" s="1437"/>
      <c r="AZ119" s="1437"/>
      <c r="BA119" s="1437"/>
      <c r="BB119" s="1437"/>
      <c r="BC119" s="1437"/>
      <c r="BD119" s="1437"/>
      <c r="BE119" s="1437"/>
      <c r="BF119" s="1437"/>
      <c r="BG119" s="1437"/>
      <c r="BH119" s="1437"/>
      <c r="BI119" s="1437"/>
      <c r="BJ119" s="1437"/>
      <c r="BK119" s="1437"/>
      <c r="BL119" s="725"/>
    </row>
    <row r="120" spans="1:64" s="3" customFormat="1" ht="6" customHeight="1" x14ac:dyDescent="0.25">
      <c r="A120" s="835"/>
      <c r="B120" s="831"/>
      <c r="C120" s="725"/>
      <c r="D120" s="904"/>
      <c r="E120" s="904"/>
      <c r="F120" s="904"/>
      <c r="G120" s="904"/>
      <c r="H120" s="904"/>
      <c r="I120" s="904"/>
      <c r="J120" s="904"/>
      <c r="K120" s="904"/>
      <c r="L120" s="904"/>
      <c r="M120" s="904"/>
      <c r="N120" s="904"/>
      <c r="O120" s="904"/>
      <c r="P120" s="904"/>
      <c r="Q120" s="904"/>
      <c r="R120" s="904"/>
      <c r="S120" s="904"/>
      <c r="T120" s="904"/>
      <c r="U120" s="725"/>
      <c r="V120" s="921"/>
      <c r="W120" s="1042"/>
      <c r="X120" s="942"/>
      <c r="AT120" s="725"/>
      <c r="AU120" s="904"/>
      <c r="AV120" s="904"/>
      <c r="AW120" s="904"/>
      <c r="AX120" s="904"/>
      <c r="AY120" s="904"/>
      <c r="AZ120" s="904"/>
      <c r="BA120" s="904"/>
      <c r="BB120" s="904"/>
      <c r="BC120" s="904"/>
      <c r="BD120" s="904"/>
      <c r="BE120" s="904"/>
      <c r="BF120" s="904"/>
      <c r="BG120" s="904"/>
      <c r="BH120" s="904"/>
      <c r="BI120" s="904"/>
      <c r="BJ120" s="904"/>
      <c r="BK120" s="904"/>
      <c r="BL120" s="725"/>
    </row>
    <row r="121" spans="1:64" s="3" customFormat="1" ht="15" customHeight="1" x14ac:dyDescent="0.25">
      <c r="A121" s="835"/>
      <c r="B121" s="945"/>
      <c r="C121" s="1426" t="str">
        <f>Z121</f>
        <v xml:space="preserve"> </v>
      </c>
      <c r="D121" s="1426"/>
      <c r="E121" s="1426"/>
      <c r="F121" s="1426"/>
      <c r="G121" s="1426"/>
      <c r="H121" s="1426"/>
      <c r="I121" s="1426"/>
      <c r="J121" s="1426"/>
      <c r="K121" s="1426"/>
      <c r="L121" s="1426"/>
      <c r="M121" s="1426"/>
      <c r="N121" s="1426"/>
      <c r="O121" s="1426"/>
      <c r="P121" s="1426"/>
      <c r="Q121" s="1426"/>
      <c r="R121" s="1426"/>
      <c r="S121" s="1426"/>
      <c r="T121" s="1426"/>
      <c r="U121" s="725"/>
      <c r="V121" s="921"/>
      <c r="W121" s="1042"/>
      <c r="Z121" s="999" t="str">
        <f>IF($Y$104&gt;=36,AT121," ")</f>
        <v xml:space="preserve"> </v>
      </c>
      <c r="AT121" s="1426" t="s">
        <v>1113</v>
      </c>
      <c r="AU121" s="1426"/>
      <c r="AV121" s="1426"/>
      <c r="AW121" s="1426"/>
      <c r="AX121" s="1426"/>
      <c r="AY121" s="1426"/>
      <c r="AZ121" s="1426"/>
      <c r="BA121" s="1426"/>
      <c r="BB121" s="1426"/>
      <c r="BC121" s="1426"/>
      <c r="BD121" s="1426"/>
      <c r="BE121" s="1426"/>
      <c r="BF121" s="1426"/>
      <c r="BG121" s="1426"/>
      <c r="BH121" s="1426"/>
      <c r="BI121" s="1426"/>
      <c r="BJ121" s="1426"/>
      <c r="BK121" s="1426"/>
      <c r="BL121" s="725"/>
    </row>
    <row r="122" spans="1:64" s="3" customFormat="1" ht="15" customHeight="1" x14ac:dyDescent="0.25">
      <c r="A122" s="835"/>
      <c r="B122" s="945"/>
      <c r="C122" s="1426"/>
      <c r="D122" s="1426"/>
      <c r="E122" s="1426"/>
      <c r="F122" s="1426"/>
      <c r="G122" s="1426"/>
      <c r="H122" s="1426"/>
      <c r="I122" s="1426"/>
      <c r="J122" s="1426"/>
      <c r="K122" s="1426"/>
      <c r="L122" s="1426"/>
      <c r="M122" s="1426"/>
      <c r="N122" s="1426"/>
      <c r="O122" s="1426"/>
      <c r="P122" s="1426"/>
      <c r="Q122" s="1426"/>
      <c r="R122" s="1426"/>
      <c r="S122" s="1426"/>
      <c r="T122" s="1426"/>
      <c r="U122" s="725"/>
      <c r="V122" s="921"/>
      <c r="W122" s="1042"/>
      <c r="AG122" s="1021"/>
      <c r="AM122" s="1021"/>
      <c r="AQ122" s="1021"/>
      <c r="AT122" s="1426"/>
      <c r="AU122" s="1426"/>
      <c r="AV122" s="1426"/>
      <c r="AW122" s="1426"/>
      <c r="AX122" s="1426"/>
      <c r="AY122" s="1426"/>
      <c r="AZ122" s="1426"/>
      <c r="BA122" s="1426"/>
      <c r="BB122" s="1426"/>
      <c r="BC122" s="1426"/>
      <c r="BD122" s="1426"/>
      <c r="BE122" s="1426"/>
      <c r="BF122" s="1426"/>
      <c r="BG122" s="1426"/>
      <c r="BH122" s="1426"/>
      <c r="BI122" s="1426"/>
      <c r="BJ122" s="1426"/>
      <c r="BK122" s="1426"/>
      <c r="BL122" s="725"/>
    </row>
    <row r="123" spans="1:64" s="3" customFormat="1" ht="15" customHeight="1" x14ac:dyDescent="0.25">
      <c r="A123" s="835"/>
      <c r="B123" s="945"/>
      <c r="C123" s="1426"/>
      <c r="D123" s="1426"/>
      <c r="E123" s="1426"/>
      <c r="F123" s="1426"/>
      <c r="G123" s="1426"/>
      <c r="H123" s="1426"/>
      <c r="I123" s="1426"/>
      <c r="J123" s="1426"/>
      <c r="K123" s="1426"/>
      <c r="L123" s="1426"/>
      <c r="M123" s="1426"/>
      <c r="N123" s="1426"/>
      <c r="O123" s="1426"/>
      <c r="P123" s="1426"/>
      <c r="Q123" s="1426"/>
      <c r="R123" s="1426"/>
      <c r="S123" s="1426"/>
      <c r="T123" s="1426"/>
      <c r="U123" s="725"/>
      <c r="V123" s="921"/>
      <c r="W123" s="1042"/>
      <c r="Y123" s="995">
        <f>Y104+AA123</f>
        <v>0</v>
      </c>
      <c r="Z123" s="1020">
        <f>SUM(AE123:AE124,AK123:AK124,AP123:AP124)</f>
        <v>13</v>
      </c>
      <c r="AA123" s="1020">
        <f>SUM(AG123:AG124,AM123:AM124,AQ123:AQ124)</f>
        <v>0</v>
      </c>
      <c r="AE123" s="3">
        <f>LEN(AE127)</f>
        <v>1</v>
      </c>
      <c r="AG123" s="317">
        <f>LEN(I127)</f>
        <v>0</v>
      </c>
      <c r="AI123" s="1021" t="str">
        <f>IF($Y$104&gt;=36,AI127," ")</f>
        <v xml:space="preserve"> </v>
      </c>
      <c r="AK123" s="3">
        <f>LEN(AK127)</f>
        <v>1</v>
      </c>
      <c r="AM123" s="317">
        <f>LEN(O127)</f>
        <v>0</v>
      </c>
      <c r="AO123" s="1021" t="str">
        <f>IF($Y$104&gt;=36,AO127," ")</f>
        <v xml:space="preserve"> </v>
      </c>
      <c r="AP123" s="3">
        <f>LEN(AP127)</f>
        <v>4</v>
      </c>
      <c r="AQ123" s="317">
        <f>LEN(R127)</f>
        <v>0</v>
      </c>
      <c r="AR123" s="1021" t="str">
        <f>IF($Y$104&gt;=36,AR127," ")</f>
        <v xml:space="preserve"> </v>
      </c>
      <c r="AT123" s="1426"/>
      <c r="AU123" s="1426"/>
      <c r="AV123" s="1426"/>
      <c r="AW123" s="1426"/>
      <c r="AX123" s="1426"/>
      <c r="AY123" s="1426"/>
      <c r="AZ123" s="1426"/>
      <c r="BA123" s="1426"/>
      <c r="BB123" s="1426"/>
      <c r="BC123" s="1426"/>
      <c r="BD123" s="1426"/>
      <c r="BE123" s="1426"/>
      <c r="BF123" s="1426"/>
      <c r="BG123" s="1426"/>
      <c r="BH123" s="1426"/>
      <c r="BI123" s="1426"/>
      <c r="BJ123" s="1426"/>
      <c r="BK123" s="1426"/>
      <c r="BL123" s="725"/>
    </row>
    <row r="124" spans="1:64" s="3" customFormat="1" ht="15" customHeight="1" x14ac:dyDescent="0.25">
      <c r="A124" s="835"/>
      <c r="B124" s="945"/>
      <c r="C124" s="1426"/>
      <c r="D124" s="1426"/>
      <c r="E124" s="1426"/>
      <c r="F124" s="1426"/>
      <c r="G124" s="1426"/>
      <c r="H124" s="1426"/>
      <c r="I124" s="1426"/>
      <c r="J124" s="1426"/>
      <c r="K124" s="1426"/>
      <c r="L124" s="1426"/>
      <c r="M124" s="1426"/>
      <c r="N124" s="1426"/>
      <c r="O124" s="1426"/>
      <c r="P124" s="1426"/>
      <c r="Q124" s="1426"/>
      <c r="R124" s="1426"/>
      <c r="S124" s="1426"/>
      <c r="T124" s="1426"/>
      <c r="U124" s="725"/>
      <c r="V124" s="921"/>
      <c r="W124" s="1042"/>
      <c r="AE124" s="3">
        <f>LEN(AE128)</f>
        <v>1</v>
      </c>
      <c r="AG124" s="317">
        <f>LEN(I128)</f>
        <v>0</v>
      </c>
      <c r="AI124" s="1021" t="str">
        <f>IF($Y$104&gt;=36,AI128," ")</f>
        <v xml:space="preserve"> </v>
      </c>
      <c r="AK124" s="3">
        <f>LEN(AK128)</f>
        <v>1</v>
      </c>
      <c r="AM124" s="317">
        <f>LEN(O128)</f>
        <v>0</v>
      </c>
      <c r="AO124" s="1021" t="str">
        <f>IF($Y$104&gt;=36,AO128," ")</f>
        <v xml:space="preserve"> </v>
      </c>
      <c r="AP124" s="3">
        <f>LEN(AP128)</f>
        <v>5</v>
      </c>
      <c r="AQ124" s="317">
        <f>LEN(R128)</f>
        <v>0</v>
      </c>
      <c r="AR124" s="1021" t="str">
        <f>IF($Y$104&gt;=36,AR128," ")</f>
        <v xml:space="preserve"> </v>
      </c>
      <c r="AT124" s="1426"/>
      <c r="AU124" s="1426"/>
      <c r="AV124" s="1426"/>
      <c r="AW124" s="1426"/>
      <c r="AX124" s="1426"/>
      <c r="AY124" s="1426"/>
      <c r="AZ124" s="1426"/>
      <c r="BA124" s="1426"/>
      <c r="BB124" s="1426"/>
      <c r="BC124" s="1426"/>
      <c r="BD124" s="1426"/>
      <c r="BE124" s="1426"/>
      <c r="BF124" s="1426"/>
      <c r="BG124" s="1426"/>
      <c r="BH124" s="1426"/>
      <c r="BI124" s="1426"/>
      <c r="BJ124" s="1426"/>
      <c r="BK124" s="1426"/>
      <c r="BL124" s="725"/>
    </row>
    <row r="125" spans="1:64" s="3" customFormat="1" ht="6" customHeight="1" x14ac:dyDescent="0.25">
      <c r="A125" s="835"/>
      <c r="B125" s="945"/>
      <c r="C125" s="930"/>
      <c r="D125" s="930"/>
      <c r="E125" s="930"/>
      <c r="F125" s="930"/>
      <c r="G125" s="930"/>
      <c r="H125" s="930"/>
      <c r="I125" s="930"/>
      <c r="J125" s="930"/>
      <c r="K125" s="930"/>
      <c r="L125" s="930"/>
      <c r="M125" s="930"/>
      <c r="N125" s="930"/>
      <c r="O125" s="930"/>
      <c r="P125" s="930"/>
      <c r="Q125" s="930"/>
      <c r="R125" s="930"/>
      <c r="S125" s="930"/>
      <c r="T125" s="930"/>
      <c r="U125" s="725"/>
      <c r="V125" s="921"/>
      <c r="W125" s="1042"/>
      <c r="X125" s="942"/>
      <c r="AT125" s="930"/>
      <c r="AU125" s="930"/>
      <c r="AV125" s="930"/>
      <c r="AW125" s="930"/>
      <c r="AX125" s="930"/>
      <c r="AY125" s="930"/>
      <c r="AZ125" s="930"/>
      <c r="BA125" s="930"/>
      <c r="BB125" s="930"/>
      <c r="BC125" s="930"/>
      <c r="BD125" s="930"/>
      <c r="BE125" s="930"/>
      <c r="BF125" s="930"/>
      <c r="BG125" s="930"/>
      <c r="BH125" s="930"/>
      <c r="BI125" s="930"/>
      <c r="BJ125" s="930"/>
      <c r="BK125" s="930"/>
      <c r="BL125" s="725"/>
    </row>
    <row r="126" spans="1:64" s="3" customFormat="1" ht="15" customHeight="1" x14ac:dyDescent="0.25">
      <c r="A126" s="835"/>
      <c r="B126" s="945"/>
      <c r="C126" s="725"/>
      <c r="D126" s="725"/>
      <c r="E126" s="725"/>
      <c r="F126" s="725"/>
      <c r="G126" s="826" t="str">
        <f t="shared" ref="D126:M128" si="82">AE126</f>
        <v xml:space="preserve"> </v>
      </c>
      <c r="H126" s="826" t="str">
        <f t="shared" si="82"/>
        <v xml:space="preserve"> </v>
      </c>
      <c r="I126" s="725"/>
      <c r="J126" s="725"/>
      <c r="K126" s="725"/>
      <c r="L126" s="1027"/>
      <c r="M126" s="826" t="str">
        <f t="shared" si="82"/>
        <v xml:space="preserve"> </v>
      </c>
      <c r="N126" s="826" t="str">
        <f t="shared" ref="N126:R128" si="83">AL126</f>
        <v xml:space="preserve"> </v>
      </c>
      <c r="O126" s="725"/>
      <c r="P126" s="725"/>
      <c r="R126" s="826" t="str">
        <f t="shared" si="83"/>
        <v xml:space="preserve"> </v>
      </c>
      <c r="S126" s="725"/>
      <c r="T126" s="725"/>
      <c r="U126" s="725"/>
      <c r="V126" s="921"/>
      <c r="W126" s="1042"/>
      <c r="AE126" s="999" t="str">
        <f t="shared" ref="AE126:AF128" si="84">IF($Y$104&gt;=36,AX126," ")</f>
        <v xml:space="preserve"> </v>
      </c>
      <c r="AF126" s="999" t="str">
        <f t="shared" si="84"/>
        <v xml:space="preserve"> </v>
      </c>
      <c r="AK126" s="999" t="str">
        <f t="shared" ref="AK126" si="85">IF($Y$104&gt;=36,BD126," ")</f>
        <v xml:space="preserve"> </v>
      </c>
      <c r="AL126" s="999" t="str">
        <f t="shared" ref="AL126" si="86">IF($Y$104&gt;=36,BE126," ")</f>
        <v xml:space="preserve"> </v>
      </c>
      <c r="AP126" s="999" t="str">
        <f t="shared" ref="AP126" si="87">IF($Y$104&gt;=36,BI126," ")</f>
        <v xml:space="preserve"> </v>
      </c>
      <c r="AT126" s="725"/>
      <c r="AU126" s="725"/>
      <c r="AV126" s="725"/>
      <c r="AW126" s="725"/>
      <c r="AX126" s="826" t="s">
        <v>1111</v>
      </c>
      <c r="AY126" s="826" t="s">
        <v>1112</v>
      </c>
      <c r="AZ126" s="725"/>
      <c r="BA126" s="725"/>
      <c r="BB126" s="725"/>
      <c r="BC126" s="725"/>
      <c r="BD126" s="826" t="s">
        <v>1111</v>
      </c>
      <c r="BE126" s="826" t="s">
        <v>1112</v>
      </c>
      <c r="BF126" s="725"/>
      <c r="BG126" s="725"/>
      <c r="BI126" s="826" t="s">
        <v>1110</v>
      </c>
      <c r="BJ126" s="725"/>
      <c r="BK126" s="725"/>
      <c r="BL126" s="725"/>
    </row>
    <row r="127" spans="1:64" s="3" customFormat="1" ht="15" customHeight="1" x14ac:dyDescent="0.25">
      <c r="A127" s="835"/>
      <c r="B127" s="945"/>
      <c r="C127" s="725"/>
      <c r="D127" s="850" t="str">
        <f t="shared" si="82"/>
        <v xml:space="preserve"> </v>
      </c>
      <c r="E127" s="962"/>
      <c r="F127" s="106" t="str">
        <f t="shared" si="82"/>
        <v xml:space="preserve"> </v>
      </c>
      <c r="G127" s="990" t="str">
        <f t="shared" si="82"/>
        <v xml:space="preserve"> </v>
      </c>
      <c r="H127" s="991" t="str">
        <f t="shared" si="82"/>
        <v xml:space="preserve"> </v>
      </c>
      <c r="I127" s="1441"/>
      <c r="J127" s="1441"/>
      <c r="K127" s="981" t="str">
        <f>AI123</f>
        <v xml:space="preserve"> </v>
      </c>
      <c r="L127" s="106" t="str">
        <f>AJ127</f>
        <v xml:space="preserve"> </v>
      </c>
      <c r="M127" s="992" t="str">
        <f t="shared" si="82"/>
        <v xml:space="preserve"> </v>
      </c>
      <c r="N127" s="989" t="str">
        <f t="shared" si="83"/>
        <v xml:space="preserve"> </v>
      </c>
      <c r="O127" s="1441"/>
      <c r="P127" s="1441"/>
      <c r="Q127" s="981" t="str">
        <f>AO123</f>
        <v xml:space="preserve"> </v>
      </c>
      <c r="R127" s="1441"/>
      <c r="S127" s="1442"/>
      <c r="T127" s="981" t="str">
        <f>AR123</f>
        <v xml:space="preserve"> </v>
      </c>
      <c r="U127" s="725"/>
      <c r="V127" s="921"/>
      <c r="W127" s="1042"/>
      <c r="Z127" s="1039">
        <f>ROUND(R127,2)</f>
        <v>0</v>
      </c>
      <c r="AB127" s="999" t="str">
        <f>IF($Y$104&gt;=36,AU127," ")</f>
        <v xml:space="preserve"> </v>
      </c>
      <c r="AD127" s="999" t="str">
        <f>IF($Y$104&gt;=36,AW127," ")</f>
        <v xml:space="preserve"> </v>
      </c>
      <c r="AE127" s="999" t="str">
        <f t="shared" si="84"/>
        <v xml:space="preserve"> </v>
      </c>
      <c r="AF127" s="999" t="str">
        <f t="shared" si="84"/>
        <v xml:space="preserve"> </v>
      </c>
      <c r="AG127" s="57">
        <v>10.9</v>
      </c>
      <c r="AH127" s="3" t="str">
        <f>IF(AG127=I127,"P","O")</f>
        <v>O</v>
      </c>
      <c r="AI127" s="1019" t="str">
        <f>IF(AG123&gt;2,AH127," ")</f>
        <v xml:space="preserve"> </v>
      </c>
      <c r="AJ127" s="999" t="str">
        <f t="shared" ref="AJ127:AJ128" si="88">IF($Y$104&gt;=36,BC127," ")</f>
        <v xml:space="preserve"> </v>
      </c>
      <c r="AK127" s="999" t="str">
        <f t="shared" ref="AK127:AL128" si="89">IF($Y$104&gt;=36,BD127," ")</f>
        <v xml:space="preserve"> </v>
      </c>
      <c r="AL127" s="999" t="str">
        <f t="shared" si="89"/>
        <v xml:space="preserve"> </v>
      </c>
      <c r="AM127" s="57">
        <v>57.9</v>
      </c>
      <c r="AN127" s="3" t="str">
        <f>IF(AM127=O127,"P","O")</f>
        <v>O</v>
      </c>
      <c r="AO127" s="1019" t="str">
        <f>IF(AM123&gt;2,AN127," ")</f>
        <v xml:space="preserve"> </v>
      </c>
      <c r="AP127" s="57">
        <v>68.8</v>
      </c>
      <c r="AQ127" s="3" t="str">
        <f>IF(AP127=R127,"P","O")</f>
        <v>O</v>
      </c>
      <c r="AR127" s="1019" t="str">
        <f>IF(AQ123&gt;2,AQ127," ")</f>
        <v xml:space="preserve"> </v>
      </c>
      <c r="AT127" s="725"/>
      <c r="AU127" s="850" t="s">
        <v>1092</v>
      </c>
      <c r="AV127" s="962"/>
      <c r="AW127" s="106" t="s">
        <v>14</v>
      </c>
      <c r="AX127" s="990">
        <v>54.5</v>
      </c>
      <c r="AY127" s="991">
        <v>0.2</v>
      </c>
      <c r="AZ127" s="1427">
        <v>10.9</v>
      </c>
      <c r="BA127" s="1427"/>
      <c r="BB127" s="981" t="s">
        <v>32</v>
      </c>
      <c r="BC127" s="106" t="s">
        <v>15</v>
      </c>
      <c r="BD127" s="992">
        <v>72.38</v>
      </c>
      <c r="BE127" s="989">
        <v>0.8</v>
      </c>
      <c r="BF127" s="1427">
        <v>57.903999999999996</v>
      </c>
      <c r="BG127" s="1427"/>
      <c r="BH127" s="981" t="s">
        <v>32</v>
      </c>
      <c r="BI127" s="1427">
        <v>68.804000000000002</v>
      </c>
      <c r="BJ127" s="1436"/>
      <c r="BK127" s="981" t="s">
        <v>32</v>
      </c>
      <c r="BL127" s="725"/>
    </row>
    <row r="128" spans="1:64" s="3" customFormat="1" ht="15" customHeight="1" x14ac:dyDescent="0.25">
      <c r="A128" s="835"/>
      <c r="B128" s="945"/>
      <c r="C128" s="725"/>
      <c r="D128" s="850" t="str">
        <f t="shared" si="82"/>
        <v xml:space="preserve"> </v>
      </c>
      <c r="E128" s="962"/>
      <c r="F128" s="106" t="str">
        <f t="shared" si="82"/>
        <v xml:space="preserve"> </v>
      </c>
      <c r="G128" s="993" t="str">
        <f t="shared" si="82"/>
        <v xml:space="preserve"> </v>
      </c>
      <c r="H128" s="991" t="str">
        <f t="shared" si="82"/>
        <v xml:space="preserve"> </v>
      </c>
      <c r="I128" s="1441"/>
      <c r="J128" s="1441"/>
      <c r="K128" s="981" t="str">
        <f>AI124</f>
        <v xml:space="preserve"> </v>
      </c>
      <c r="L128" s="106" t="str">
        <f>AJ128</f>
        <v xml:space="preserve"> </v>
      </c>
      <c r="M128" s="992" t="str">
        <f t="shared" si="82"/>
        <v xml:space="preserve"> </v>
      </c>
      <c r="N128" s="989" t="str">
        <f t="shared" si="83"/>
        <v xml:space="preserve"> </v>
      </c>
      <c r="O128" s="1441"/>
      <c r="P128" s="1441"/>
      <c r="Q128" s="981" t="str">
        <f>AO124</f>
        <v xml:space="preserve"> </v>
      </c>
      <c r="R128" s="1441"/>
      <c r="S128" s="1442"/>
      <c r="T128" s="981" t="str">
        <f>AR124</f>
        <v xml:space="preserve"> </v>
      </c>
      <c r="U128" s="725"/>
      <c r="V128" s="921"/>
      <c r="W128" s="1042"/>
      <c r="Z128" s="1039">
        <f>ROUND(R128,2)</f>
        <v>0</v>
      </c>
      <c r="AB128" s="999" t="str">
        <f>IF($Y$104&gt;=36,AU128," ")</f>
        <v xml:space="preserve"> </v>
      </c>
      <c r="AD128" s="999" t="str">
        <f>IF($Y$104&gt;=36,AW128," ")</f>
        <v xml:space="preserve"> </v>
      </c>
      <c r="AE128" s="999" t="str">
        <f t="shared" si="84"/>
        <v xml:space="preserve"> </v>
      </c>
      <c r="AF128" s="999" t="str">
        <f t="shared" si="84"/>
        <v xml:space="preserve"> </v>
      </c>
      <c r="AG128" s="57">
        <v>12.45</v>
      </c>
      <c r="AH128" s="3" t="str">
        <f>IF(AG128=I128,"P","O")</f>
        <v>O</v>
      </c>
      <c r="AI128" s="1019" t="str">
        <f>IF(AG124&gt;2,AH128," ")</f>
        <v xml:space="preserve"> </v>
      </c>
      <c r="AJ128" s="999" t="str">
        <f t="shared" si="88"/>
        <v xml:space="preserve"> </v>
      </c>
      <c r="AK128" s="999" t="str">
        <f t="shared" si="89"/>
        <v xml:space="preserve"> </v>
      </c>
      <c r="AL128" s="999" t="str">
        <f t="shared" si="89"/>
        <v xml:space="preserve"> </v>
      </c>
      <c r="AM128" s="57">
        <v>51.7</v>
      </c>
      <c r="AN128" s="3" t="str">
        <f>IF(AM128=O128,"P","O")</f>
        <v>O</v>
      </c>
      <c r="AO128" s="1019" t="str">
        <f>IF(AM124&gt;2,AN128," ")</f>
        <v xml:space="preserve"> </v>
      </c>
      <c r="AP128" s="57">
        <v>64.150000000000006</v>
      </c>
      <c r="AQ128" s="3" t="str">
        <f>IF(AP128=R128,"P","O")</f>
        <v>O</v>
      </c>
      <c r="AR128" s="1019" t="str">
        <f>IF(AQ124&gt;2,AQ128," ")</f>
        <v xml:space="preserve"> </v>
      </c>
      <c r="AT128" s="725"/>
      <c r="AU128" s="850" t="s">
        <v>1088</v>
      </c>
      <c r="AV128" s="962"/>
      <c r="AW128" s="106" t="s">
        <v>14</v>
      </c>
      <c r="AX128" s="993">
        <v>62.25</v>
      </c>
      <c r="AY128" s="991">
        <v>0.2</v>
      </c>
      <c r="AZ128" s="1427">
        <v>12.450000000000001</v>
      </c>
      <c r="BA128" s="1427"/>
      <c r="BB128" s="981" t="s">
        <v>32</v>
      </c>
      <c r="BC128" s="106" t="s">
        <v>15</v>
      </c>
      <c r="BD128" s="992">
        <v>64.63</v>
      </c>
      <c r="BE128" s="989">
        <v>0.8</v>
      </c>
      <c r="BF128" s="1427">
        <v>51.704000000000001</v>
      </c>
      <c r="BG128" s="1427"/>
      <c r="BH128" s="981" t="s">
        <v>32</v>
      </c>
      <c r="BI128" s="1427">
        <v>64.153999999999996</v>
      </c>
      <c r="BJ128" s="1436"/>
      <c r="BK128" s="981" t="s">
        <v>32</v>
      </c>
      <c r="BL128" s="725"/>
    </row>
    <row r="129" spans="1:66" s="3" customFormat="1" ht="15" customHeight="1" x14ac:dyDescent="0.25">
      <c r="A129" s="835"/>
      <c r="B129" s="945"/>
      <c r="C129" s="725"/>
      <c r="D129" s="725"/>
      <c r="E129" s="725"/>
      <c r="F129" s="725"/>
      <c r="G129" s="725"/>
      <c r="H129" s="725"/>
      <c r="I129" s="725"/>
      <c r="J129" s="725"/>
      <c r="K129" s="725"/>
      <c r="L129" s="725"/>
      <c r="M129" s="725"/>
      <c r="N129" s="725"/>
      <c r="O129" s="725"/>
      <c r="P129" s="725"/>
      <c r="Q129" s="725"/>
      <c r="R129" s="725"/>
      <c r="S129" s="725"/>
      <c r="T129" s="725"/>
      <c r="U129" s="725"/>
      <c r="V129" s="921"/>
      <c r="W129" s="1042"/>
      <c r="AT129" s="725"/>
      <c r="AU129" s="725"/>
      <c r="AV129" s="725"/>
      <c r="AW129" s="725"/>
      <c r="AX129" s="725"/>
      <c r="AY129" s="725"/>
      <c r="AZ129" s="725"/>
      <c r="BA129" s="725"/>
      <c r="BB129" s="725"/>
      <c r="BC129" s="725"/>
      <c r="BD129" s="725"/>
      <c r="BE129" s="725"/>
      <c r="BF129" s="725"/>
      <c r="BG129" s="725"/>
      <c r="BH129" s="725"/>
      <c r="BI129" s="725"/>
      <c r="BJ129" s="725"/>
      <c r="BK129" s="725"/>
      <c r="BL129" s="725"/>
    </row>
    <row r="130" spans="1:66" s="3" customFormat="1" ht="15" customHeight="1" x14ac:dyDescent="0.25">
      <c r="A130" s="835"/>
      <c r="B130" s="945"/>
      <c r="C130" s="1421" t="str">
        <f>Z130</f>
        <v xml:space="preserve"> </v>
      </c>
      <c r="D130" s="1421"/>
      <c r="E130" s="1421"/>
      <c r="F130" s="1421"/>
      <c r="G130" s="1421"/>
      <c r="H130" s="1421"/>
      <c r="I130" s="1421"/>
      <c r="J130" s="1421"/>
      <c r="K130" s="1421"/>
      <c r="L130" s="1421"/>
      <c r="M130" s="1421"/>
      <c r="N130" s="1421"/>
      <c r="O130" s="1421"/>
      <c r="P130" s="1421"/>
      <c r="Q130" s="1421"/>
      <c r="R130" s="1421"/>
      <c r="S130" s="1421"/>
      <c r="T130" s="856"/>
      <c r="U130" s="725"/>
      <c r="V130" s="921"/>
      <c r="W130" s="1042"/>
      <c r="Z130" s="999" t="str">
        <f>IF($Y$104&gt;=36,AT130," ")</f>
        <v xml:space="preserve"> </v>
      </c>
      <c r="AT130" s="1421" t="s">
        <v>1114</v>
      </c>
      <c r="AU130" s="1421"/>
      <c r="AV130" s="1421"/>
      <c r="AW130" s="1421"/>
      <c r="AX130" s="1421"/>
      <c r="AY130" s="1421"/>
      <c r="AZ130" s="1421"/>
      <c r="BA130" s="1421"/>
      <c r="BB130" s="1421"/>
      <c r="BC130" s="1421"/>
      <c r="BD130" s="1421"/>
      <c r="BE130" s="1421"/>
      <c r="BF130" s="1421"/>
      <c r="BG130" s="1421"/>
      <c r="BH130" s="1421"/>
      <c r="BI130" s="1421"/>
      <c r="BJ130" s="1421"/>
      <c r="BK130" s="856"/>
      <c r="BL130" s="725"/>
    </row>
    <row r="131" spans="1:66" s="3" customFormat="1" ht="15" customHeight="1" x14ac:dyDescent="0.25">
      <c r="A131" s="835"/>
      <c r="B131" s="945"/>
      <c r="C131" s="1421"/>
      <c r="D131" s="1421"/>
      <c r="E131" s="1421"/>
      <c r="F131" s="1421"/>
      <c r="G131" s="1421"/>
      <c r="H131" s="1421"/>
      <c r="I131" s="1421"/>
      <c r="J131" s="1421"/>
      <c r="K131" s="1421"/>
      <c r="L131" s="1421"/>
      <c r="M131" s="1421"/>
      <c r="N131" s="1421"/>
      <c r="O131" s="1421"/>
      <c r="P131" s="1421"/>
      <c r="Q131" s="1421"/>
      <c r="R131" s="1421"/>
      <c r="S131" s="1421"/>
      <c r="T131" s="856"/>
      <c r="U131" s="725"/>
      <c r="V131" s="921"/>
      <c r="W131" s="1042"/>
      <c r="AT131" s="1421"/>
      <c r="AU131" s="1421"/>
      <c r="AV131" s="1421"/>
      <c r="AW131" s="1421"/>
      <c r="AX131" s="1421"/>
      <c r="AY131" s="1421"/>
      <c r="AZ131" s="1421"/>
      <c r="BA131" s="1421"/>
      <c r="BB131" s="1421"/>
      <c r="BC131" s="1421"/>
      <c r="BD131" s="1421"/>
      <c r="BE131" s="1421"/>
      <c r="BF131" s="1421"/>
      <c r="BG131" s="1421"/>
      <c r="BH131" s="1421"/>
      <c r="BI131" s="1421"/>
      <c r="BJ131" s="1421"/>
      <c r="BK131" s="856"/>
      <c r="BL131" s="725"/>
    </row>
    <row r="132" spans="1:66" s="3" customFormat="1" ht="15" customHeight="1" x14ac:dyDescent="0.25">
      <c r="A132" s="835"/>
      <c r="B132" s="945"/>
      <c r="C132" s="1421"/>
      <c r="D132" s="1421"/>
      <c r="E132" s="1421"/>
      <c r="F132" s="1421"/>
      <c r="G132" s="1421"/>
      <c r="H132" s="1421"/>
      <c r="I132" s="1421"/>
      <c r="J132" s="1421"/>
      <c r="K132" s="1421"/>
      <c r="L132" s="1421"/>
      <c r="M132" s="1421"/>
      <c r="N132" s="1421"/>
      <c r="O132" s="1421"/>
      <c r="P132" s="1421"/>
      <c r="Q132" s="1421"/>
      <c r="R132" s="1421"/>
      <c r="S132" s="1421"/>
      <c r="T132" s="725"/>
      <c r="U132" s="725"/>
      <c r="V132" s="921"/>
      <c r="W132" s="1042"/>
      <c r="AM132" s="317">
        <f>LEN(O135)</f>
        <v>0</v>
      </c>
      <c r="AN132" s="942" t="str">
        <f>IF(AM132&gt;2,AO132," ")</f>
        <v xml:space="preserve"> </v>
      </c>
      <c r="AO132" s="1021" t="str">
        <f>IF($Y$104&gt;=36,AO135," ")</f>
        <v xml:space="preserve"> </v>
      </c>
      <c r="AR132" s="942" t="str">
        <f>IF(AQ133&gt;2,AS132," ")</f>
        <v xml:space="preserve"> </v>
      </c>
      <c r="AS132" s="1021" t="str">
        <f>IF($Y$104&gt;=36,AR135," ")</f>
        <v xml:space="preserve"> </v>
      </c>
      <c r="AT132" s="1421"/>
      <c r="AU132" s="1421"/>
      <c r="AV132" s="1421"/>
      <c r="AW132" s="1421"/>
      <c r="AX132" s="1421"/>
      <c r="AY132" s="1421"/>
      <c r="AZ132" s="1421"/>
      <c r="BA132" s="1421"/>
      <c r="BB132" s="1421"/>
      <c r="BC132" s="1421"/>
      <c r="BD132" s="1421"/>
      <c r="BE132" s="1421"/>
      <c r="BF132" s="1421"/>
      <c r="BG132" s="1421"/>
      <c r="BH132" s="1421"/>
      <c r="BI132" s="1421"/>
      <c r="BJ132" s="1421"/>
      <c r="BK132" s="725"/>
      <c r="BL132" s="725"/>
    </row>
    <row r="133" spans="1:66" s="3" customFormat="1" ht="15" customHeight="1" x14ac:dyDescent="0.25">
      <c r="A133" s="835"/>
      <c r="B133" s="945"/>
      <c r="C133" s="929"/>
      <c r="D133" s="929"/>
      <c r="E133" s="929"/>
      <c r="F133" s="929"/>
      <c r="G133" s="929"/>
      <c r="H133" s="929"/>
      <c r="I133" s="929"/>
      <c r="J133" s="929"/>
      <c r="K133" s="929"/>
      <c r="L133" s="929"/>
      <c r="M133" s="929"/>
      <c r="N133" s="929"/>
      <c r="P133" s="901"/>
      <c r="Q133" s="929"/>
      <c r="R133" s="1420" t="str">
        <f t="shared" ref="D133:R136" si="90">AP133</f>
        <v xml:space="preserve"> </v>
      </c>
      <c r="S133" s="1420"/>
      <c r="T133" s="725"/>
      <c r="U133" s="725"/>
      <c r="V133" s="921"/>
      <c r="W133" s="1042"/>
      <c r="X133" s="942">
        <v>6</v>
      </c>
      <c r="Y133" s="1040">
        <f>Y123+AA133</f>
        <v>0</v>
      </c>
      <c r="AA133" s="3">
        <f>AM132+AM133+AQ133+AQ134</f>
        <v>0</v>
      </c>
      <c r="AM133" s="317">
        <f>LEN(O136)</f>
        <v>0</v>
      </c>
      <c r="AN133" s="942" t="str">
        <f>IF(AM133&gt;2,AO133," ")</f>
        <v xml:space="preserve"> </v>
      </c>
      <c r="AO133" s="1021" t="str">
        <f>IF($Y$104&gt;=36,AO136," ")</f>
        <v xml:space="preserve"> </v>
      </c>
      <c r="AP133" s="999" t="str">
        <f>IF($Y$104&gt;=36,BI133," ")</f>
        <v xml:space="preserve"> </v>
      </c>
      <c r="AQ133" s="317">
        <f>LEN(R135)</f>
        <v>0</v>
      </c>
      <c r="AR133" s="942" t="str">
        <f>IF(AQ134&gt;2,AS133," ")</f>
        <v xml:space="preserve"> </v>
      </c>
      <c r="AS133" s="1021" t="str">
        <f>IF($Y$104&gt;=36,AR136," ")</f>
        <v xml:space="preserve"> </v>
      </c>
      <c r="AT133" s="929"/>
      <c r="AU133" s="929"/>
      <c r="AV133" s="929"/>
      <c r="AW133" s="929"/>
      <c r="AX133" s="929"/>
      <c r="AY133" s="929"/>
      <c r="AZ133" s="929"/>
      <c r="BA133" s="929"/>
      <c r="BB133" s="929"/>
      <c r="BC133" s="929"/>
      <c r="BD133" s="929"/>
      <c r="BE133" s="929"/>
      <c r="BF133" s="929"/>
      <c r="BG133" s="929"/>
      <c r="BH133" s="929"/>
      <c r="BI133" s="1029" t="s">
        <v>1125</v>
      </c>
      <c r="BJ133" s="929"/>
      <c r="BK133" s="725"/>
      <c r="BL133" s="725"/>
    </row>
    <row r="134" spans="1:66" s="3" customFormat="1" ht="15" customHeight="1" x14ac:dyDescent="0.25">
      <c r="A134" s="835"/>
      <c r="B134" s="831"/>
      <c r="C134" s="725"/>
      <c r="D134" s="725"/>
      <c r="E134" s="725"/>
      <c r="F134" s="725"/>
      <c r="G134" s="826" t="str">
        <f t="shared" si="90"/>
        <v xml:space="preserve"> </v>
      </c>
      <c r="H134" s="826" t="str">
        <f t="shared" si="90"/>
        <v xml:space="preserve"> </v>
      </c>
      <c r="I134" s="1417" t="str">
        <f>AG134</f>
        <v xml:space="preserve"> </v>
      </c>
      <c r="J134" s="1417"/>
      <c r="K134" s="725"/>
      <c r="L134" s="725"/>
      <c r="M134" s="826" t="str">
        <f t="shared" si="90"/>
        <v xml:space="preserve"> </v>
      </c>
      <c r="N134" s="826" t="str">
        <f t="shared" si="90"/>
        <v xml:space="preserve"> </v>
      </c>
      <c r="O134" s="1419" t="str">
        <f>AM134</f>
        <v xml:space="preserve"> </v>
      </c>
      <c r="P134" s="1419"/>
      <c r="Q134" s="725"/>
      <c r="R134" s="826" t="str">
        <f t="shared" si="90"/>
        <v xml:space="preserve"> </v>
      </c>
      <c r="S134" s="725"/>
      <c r="T134" s="725"/>
      <c r="U134" s="725"/>
      <c r="V134" s="921"/>
      <c r="W134" s="1042"/>
      <c r="Y134" s="3">
        <v>86</v>
      </c>
      <c r="AB134" s="725"/>
      <c r="AC134" s="725"/>
      <c r="AD134" s="725"/>
      <c r="AE134" s="999" t="str">
        <f t="shared" ref="AE134:AE136" si="91">IF($Y$104&gt;=36,AX134," ")</f>
        <v xml:space="preserve"> </v>
      </c>
      <c r="AF134" s="999" t="str">
        <f t="shared" ref="AF134:AF136" si="92">IF($Y$104&gt;=36,AY134," ")</f>
        <v xml:space="preserve"> </v>
      </c>
      <c r="AG134" s="999" t="str">
        <f>IF($Y$104&gt;=36,AZ134," ")</f>
        <v xml:space="preserve"> </v>
      </c>
      <c r="AH134" s="725"/>
      <c r="AI134" s="725"/>
      <c r="AJ134" s="725"/>
      <c r="AK134" s="999" t="str">
        <f t="shared" ref="AJ134:AL136" si="93">IF($Y$104&gt;=36,BD134," ")</f>
        <v xml:space="preserve"> </v>
      </c>
      <c r="AL134" s="999" t="str">
        <f t="shared" si="93"/>
        <v xml:space="preserve"> </v>
      </c>
      <c r="AM134" s="999" t="str">
        <f>IF($Y$104&gt;=36,BF134," ")</f>
        <v xml:space="preserve"> </v>
      </c>
      <c r="AN134" s="725"/>
      <c r="AO134" s="725"/>
      <c r="AP134" s="999" t="str">
        <f t="shared" ref="AP134" si="94">IF($Y$104&gt;=36,BI134," ")</f>
        <v xml:space="preserve"> </v>
      </c>
      <c r="AQ134" s="317">
        <f>LEN(R136)</f>
        <v>0</v>
      </c>
      <c r="AT134" s="725"/>
      <c r="AU134" s="725"/>
      <c r="AV134" s="725"/>
      <c r="AW134" s="725"/>
      <c r="AX134" s="826" t="s">
        <v>1111</v>
      </c>
      <c r="AY134" s="826" t="s">
        <v>1112</v>
      </c>
      <c r="AZ134" s="725" t="s">
        <v>1123</v>
      </c>
      <c r="BA134" s="725"/>
      <c r="BB134" s="725"/>
      <c r="BC134" s="725"/>
      <c r="BD134" s="826" t="s">
        <v>1111</v>
      </c>
      <c r="BE134" s="826" t="s">
        <v>1112</v>
      </c>
      <c r="BF134" s="725" t="s">
        <v>1124</v>
      </c>
      <c r="BG134" s="725"/>
      <c r="BH134" s="725"/>
      <c r="BI134" s="826" t="s">
        <v>1110</v>
      </c>
      <c r="BJ134" s="725"/>
      <c r="BK134" s="725"/>
      <c r="BL134" s="725"/>
    </row>
    <row r="135" spans="1:66" s="3" customFormat="1" ht="15" customHeight="1" x14ac:dyDescent="0.25">
      <c r="A135" s="835"/>
      <c r="B135" s="831"/>
      <c r="C135" s="725"/>
      <c r="D135" s="850" t="str">
        <f t="shared" si="90"/>
        <v xml:space="preserve"> </v>
      </c>
      <c r="E135" s="725"/>
      <c r="F135" s="928" t="str">
        <f t="shared" si="90"/>
        <v xml:space="preserve"> </v>
      </c>
      <c r="G135" s="986" t="str">
        <f t="shared" si="90"/>
        <v xml:space="preserve"> </v>
      </c>
      <c r="H135" s="994" t="str">
        <f t="shared" si="90"/>
        <v xml:space="preserve"> </v>
      </c>
      <c r="I135" s="1443" t="str">
        <f t="shared" si="90"/>
        <v xml:space="preserve"> </v>
      </c>
      <c r="J135" s="1443"/>
      <c r="K135" s="725"/>
      <c r="L135" s="928" t="str">
        <f t="shared" si="90"/>
        <v xml:space="preserve"> </v>
      </c>
      <c r="M135" s="987" t="str">
        <f t="shared" si="90"/>
        <v xml:space="preserve"> </v>
      </c>
      <c r="N135" s="994" t="str">
        <f t="shared" si="90"/>
        <v xml:space="preserve"> </v>
      </c>
      <c r="O135" s="1439"/>
      <c r="P135" s="1439"/>
      <c r="Q135" s="981" t="str">
        <f>AN132</f>
        <v xml:space="preserve"> </v>
      </c>
      <c r="R135" s="1439"/>
      <c r="S135" s="1440"/>
      <c r="T135" s="981" t="str">
        <f>AR132</f>
        <v xml:space="preserve"> </v>
      </c>
      <c r="U135" s="725"/>
      <c r="V135" s="921"/>
      <c r="W135" s="1042"/>
      <c r="X135" s="57"/>
      <c r="AB135" s="999" t="str">
        <f>IF($Y$104&gt;=36,AU135," ")</f>
        <v xml:space="preserve"> </v>
      </c>
      <c r="AC135" s="725"/>
      <c r="AD135" s="999" t="str">
        <f t="shared" ref="AD135:AD136" si="95">IF($Y$104&gt;=36,AW135," ")</f>
        <v xml:space="preserve"> </v>
      </c>
      <c r="AE135" s="999" t="str">
        <f t="shared" si="91"/>
        <v xml:space="preserve"> </v>
      </c>
      <c r="AF135" s="999" t="str">
        <f t="shared" si="92"/>
        <v xml:space="preserve"> </v>
      </c>
      <c r="AG135" s="999" t="str">
        <f t="shared" ref="AG135:AG136" si="96">IF($Y$104&gt;=36,AZ135," ")</f>
        <v xml:space="preserve"> </v>
      </c>
      <c r="AH135" s="999"/>
      <c r="AI135" s="725"/>
      <c r="AJ135" s="999" t="str">
        <f t="shared" si="93"/>
        <v xml:space="preserve"> </v>
      </c>
      <c r="AK135" s="999" t="str">
        <f t="shared" si="93"/>
        <v xml:space="preserve"> </v>
      </c>
      <c r="AL135" s="999" t="str">
        <f t="shared" si="93"/>
        <v xml:space="preserve"> </v>
      </c>
      <c r="AM135" s="1423">
        <v>289.52</v>
      </c>
      <c r="AN135" s="1423"/>
      <c r="AO135" s="725" t="str">
        <f>IF(O135=AM135,"P","O")</f>
        <v>O</v>
      </c>
      <c r="AP135" s="1423">
        <v>68.8</v>
      </c>
      <c r="AQ135" s="1424"/>
      <c r="AR135" s="725" t="str">
        <f>IF(R135=AP135,"P","O")</f>
        <v>O</v>
      </c>
      <c r="AT135" s="725"/>
      <c r="AU135" s="850" t="s">
        <v>1092</v>
      </c>
      <c r="AV135" s="725"/>
      <c r="AW135" s="928" t="s">
        <v>14</v>
      </c>
      <c r="AX135" s="986">
        <v>54.5</v>
      </c>
      <c r="AY135" s="994">
        <v>1</v>
      </c>
      <c r="AZ135" s="1425">
        <v>54.5</v>
      </c>
      <c r="BA135" s="1425"/>
      <c r="BB135" s="725"/>
      <c r="BC135" s="928" t="s">
        <v>15</v>
      </c>
      <c r="BD135" s="987">
        <v>72.38</v>
      </c>
      <c r="BE135" s="994">
        <v>4</v>
      </c>
      <c r="BF135" s="1423">
        <v>289.52</v>
      </c>
      <c r="BG135" s="1423"/>
      <c r="BH135" s="725"/>
      <c r="BI135" s="1423">
        <v>68.804000000000002</v>
      </c>
      <c r="BJ135" s="1424"/>
      <c r="BK135" s="725"/>
      <c r="BL135" s="725"/>
      <c r="BM135" s="1418">
        <f>(BF135+AZ135)/5</f>
        <v>68.804000000000002</v>
      </c>
      <c r="BN135" s="1418"/>
    </row>
    <row r="136" spans="1:66" s="3" customFormat="1" ht="15" customHeight="1" x14ac:dyDescent="0.25">
      <c r="A136" s="835"/>
      <c r="B136" s="831"/>
      <c r="C136" s="725"/>
      <c r="D136" s="850" t="str">
        <f t="shared" si="90"/>
        <v xml:space="preserve"> </v>
      </c>
      <c r="E136" s="725"/>
      <c r="F136" s="928" t="str">
        <f t="shared" si="90"/>
        <v xml:space="preserve"> </v>
      </c>
      <c r="G136" s="988" t="str">
        <f t="shared" si="90"/>
        <v xml:space="preserve"> </v>
      </c>
      <c r="H136" s="994" t="str">
        <f t="shared" si="90"/>
        <v xml:space="preserve"> </v>
      </c>
      <c r="I136" s="1420" t="str">
        <f t="shared" si="90"/>
        <v xml:space="preserve"> </v>
      </c>
      <c r="J136" s="1420"/>
      <c r="K136" s="725"/>
      <c r="L136" s="928" t="str">
        <f t="shared" si="90"/>
        <v xml:space="preserve"> </v>
      </c>
      <c r="M136" s="987" t="str">
        <f t="shared" si="90"/>
        <v xml:space="preserve"> </v>
      </c>
      <c r="N136" s="994" t="str">
        <f t="shared" si="90"/>
        <v xml:space="preserve"> </v>
      </c>
      <c r="O136" s="1439"/>
      <c r="P136" s="1439"/>
      <c r="Q136" s="981" t="str">
        <f>AN133</f>
        <v xml:space="preserve"> </v>
      </c>
      <c r="R136" s="1439"/>
      <c r="S136" s="1440"/>
      <c r="T136" s="981" t="str">
        <f>AR133</f>
        <v xml:space="preserve"> </v>
      </c>
      <c r="U136" s="725"/>
      <c r="V136" s="921"/>
      <c r="W136" s="1042"/>
      <c r="AB136" s="999" t="str">
        <f>IF($Y$104&gt;=36,AU136," ")</f>
        <v xml:space="preserve"> </v>
      </c>
      <c r="AC136" s="725"/>
      <c r="AD136" s="999" t="str">
        <f t="shared" si="95"/>
        <v xml:space="preserve"> </v>
      </c>
      <c r="AE136" s="999" t="str">
        <f t="shared" si="91"/>
        <v xml:space="preserve"> </v>
      </c>
      <c r="AF136" s="999" t="str">
        <f t="shared" si="92"/>
        <v xml:space="preserve"> </v>
      </c>
      <c r="AG136" s="999" t="str">
        <f t="shared" si="96"/>
        <v xml:space="preserve"> </v>
      </c>
      <c r="AH136" s="999"/>
      <c r="AI136" s="725"/>
      <c r="AJ136" s="999" t="str">
        <f t="shared" si="93"/>
        <v xml:space="preserve"> </v>
      </c>
      <c r="AK136" s="999" t="str">
        <f t="shared" si="93"/>
        <v xml:space="preserve"> </v>
      </c>
      <c r="AL136" s="999" t="str">
        <f t="shared" si="93"/>
        <v xml:space="preserve"> </v>
      </c>
      <c r="AM136" s="1423">
        <v>258.52</v>
      </c>
      <c r="AN136" s="1423"/>
      <c r="AO136" s="725" t="str">
        <f>IF(O136=AM136,"P","O")</f>
        <v>O</v>
      </c>
      <c r="AP136" s="1423">
        <v>64.150000000000006</v>
      </c>
      <c r="AQ136" s="1424"/>
      <c r="AR136" s="725" t="str">
        <f>IF(R136=AP136,"P","O")</f>
        <v>O</v>
      </c>
      <c r="AT136" s="725"/>
      <c r="AU136" s="850" t="s">
        <v>1088</v>
      </c>
      <c r="AV136" s="725"/>
      <c r="AW136" s="928" t="s">
        <v>14</v>
      </c>
      <c r="AX136" s="988">
        <v>62.25</v>
      </c>
      <c r="AY136" s="994">
        <v>1</v>
      </c>
      <c r="AZ136" s="1425">
        <v>62.25</v>
      </c>
      <c r="BA136" s="1425"/>
      <c r="BB136" s="725"/>
      <c r="BC136" s="928" t="s">
        <v>15</v>
      </c>
      <c r="BD136" s="987">
        <v>64.63</v>
      </c>
      <c r="BE136" s="994">
        <v>4</v>
      </c>
      <c r="BF136" s="1423">
        <v>258.52</v>
      </c>
      <c r="BG136" s="1423"/>
      <c r="BH136" s="725"/>
      <c r="BI136" s="1423">
        <v>64.153999999999996</v>
      </c>
      <c r="BJ136" s="1424"/>
      <c r="BK136" s="725"/>
      <c r="BL136" s="725"/>
      <c r="BM136" s="1418">
        <f>(BF136+AZ136)/5</f>
        <v>64.153999999999996</v>
      </c>
      <c r="BN136" s="1418"/>
    </row>
    <row r="137" spans="1:66" s="3" customFormat="1" ht="6" customHeight="1" x14ac:dyDescent="0.25">
      <c r="A137" s="835"/>
      <c r="B137" s="831"/>
      <c r="C137" s="725"/>
      <c r="D137" s="850"/>
      <c r="E137" s="725"/>
      <c r="F137" s="928"/>
      <c r="G137" s="988"/>
      <c r="H137" s="994"/>
      <c r="I137" s="928"/>
      <c r="J137" s="928"/>
      <c r="K137" s="725"/>
      <c r="L137" s="928"/>
      <c r="M137" s="987"/>
      <c r="N137" s="994"/>
      <c r="O137" s="1026"/>
      <c r="P137" s="1026"/>
      <c r="Q137" s="725"/>
      <c r="R137" s="1026"/>
      <c r="S137" s="931"/>
      <c r="T137" s="725"/>
      <c r="U137" s="725"/>
      <c r="V137" s="921"/>
      <c r="W137" s="1042"/>
      <c r="X137" s="942"/>
      <c r="AB137" s="999"/>
      <c r="AC137" s="725"/>
      <c r="AD137" s="999"/>
      <c r="AE137" s="999"/>
      <c r="AF137" s="999"/>
      <c r="AG137" s="999"/>
      <c r="AH137" s="999"/>
      <c r="AI137" s="725"/>
      <c r="AJ137" s="999"/>
      <c r="AK137" s="999"/>
      <c r="AL137" s="999"/>
      <c r="AM137" s="1023"/>
      <c r="AN137" s="1023"/>
      <c r="AO137" s="725"/>
      <c r="AP137" s="1023"/>
      <c r="AQ137" s="1024"/>
      <c r="AT137" s="725"/>
      <c r="AU137" s="850"/>
      <c r="AV137" s="725"/>
      <c r="AW137" s="928"/>
      <c r="AX137" s="988"/>
      <c r="AY137" s="994"/>
      <c r="AZ137" s="950"/>
      <c r="BA137" s="950"/>
      <c r="BB137" s="725"/>
      <c r="BC137" s="928"/>
      <c r="BD137" s="987"/>
      <c r="BE137" s="994"/>
      <c r="BF137" s="1023"/>
      <c r="BG137" s="1023"/>
      <c r="BH137" s="725"/>
      <c r="BI137" s="1023"/>
      <c r="BJ137" s="1024"/>
      <c r="BK137" s="725"/>
      <c r="BL137" s="725"/>
      <c r="BM137" s="1025"/>
      <c r="BN137" s="1025"/>
    </row>
    <row r="138" spans="1:66" s="3" customFormat="1" ht="15" customHeight="1" x14ac:dyDescent="0.25">
      <c r="A138" s="835"/>
      <c r="B138" s="831"/>
      <c r="C138" s="1438" t="str">
        <f>AB139</f>
        <v xml:space="preserve"> </v>
      </c>
      <c r="D138" s="1438"/>
      <c r="E138" s="1438"/>
      <c r="F138" s="1438"/>
      <c r="G138" s="1438"/>
      <c r="H138" s="1438"/>
      <c r="I138" s="1438"/>
      <c r="J138" s="1438"/>
      <c r="K138" s="1438"/>
      <c r="L138" s="1438"/>
      <c r="M138" s="1438"/>
      <c r="N138" s="1438"/>
      <c r="O138" s="1438"/>
      <c r="P138" s="1438"/>
      <c r="Q138" s="1438"/>
      <c r="R138" s="1438"/>
      <c r="S138" s="1438"/>
      <c r="T138" s="1438"/>
      <c r="U138" s="725"/>
      <c r="V138" s="921"/>
      <c r="W138" s="1042"/>
      <c r="AT138" s="1421" t="s">
        <v>1119</v>
      </c>
      <c r="AU138" s="1421"/>
      <c r="AV138" s="1421"/>
      <c r="AW138" s="1421"/>
      <c r="AX138" s="1421"/>
      <c r="AY138" s="1421"/>
      <c r="AZ138" s="1421"/>
      <c r="BA138" s="1421"/>
      <c r="BB138" s="1421"/>
      <c r="BC138" s="1421"/>
      <c r="BD138" s="1421"/>
      <c r="BE138" s="1421"/>
      <c r="BF138" s="1421"/>
      <c r="BG138" s="1421"/>
      <c r="BH138" s="1421"/>
      <c r="BI138" s="1421"/>
      <c r="BJ138" s="1421"/>
      <c r="BK138" s="1421"/>
      <c r="BL138" s="725"/>
    </row>
    <row r="139" spans="1:66" s="3" customFormat="1" ht="15" customHeight="1" x14ac:dyDescent="0.25">
      <c r="A139" s="835"/>
      <c r="B139" s="831"/>
      <c r="C139" s="1438"/>
      <c r="D139" s="1438"/>
      <c r="E139" s="1438"/>
      <c r="F139" s="1438"/>
      <c r="G139" s="1438"/>
      <c r="H139" s="1438"/>
      <c r="I139" s="1438"/>
      <c r="J139" s="1438"/>
      <c r="K139" s="1438"/>
      <c r="L139" s="1438"/>
      <c r="M139" s="1438"/>
      <c r="N139" s="1438"/>
      <c r="O139" s="1438"/>
      <c r="P139" s="1438"/>
      <c r="Q139" s="1438"/>
      <c r="R139" s="1438"/>
      <c r="S139" s="1438"/>
      <c r="T139" s="1438"/>
      <c r="U139" s="725"/>
      <c r="V139" s="921"/>
      <c r="W139" s="1042"/>
      <c r="AA139" s="1041"/>
      <c r="AB139" s="999" t="str">
        <f>IF($Y$133&gt;=83,AT138," ")</f>
        <v xml:space="preserve"> </v>
      </c>
      <c r="AM139" s="1416" t="e">
        <f>AK135*AL135</f>
        <v>#VALUE!</v>
      </c>
      <c r="AN139" s="1416"/>
      <c r="AT139" s="1421"/>
      <c r="AU139" s="1421"/>
      <c r="AV139" s="1421"/>
      <c r="AW139" s="1421"/>
      <c r="AX139" s="1421"/>
      <c r="AY139" s="1421"/>
      <c r="AZ139" s="1421"/>
      <c r="BA139" s="1421"/>
      <c r="BB139" s="1421"/>
      <c r="BC139" s="1421"/>
      <c r="BD139" s="1421"/>
      <c r="BE139" s="1421"/>
      <c r="BF139" s="1421"/>
      <c r="BG139" s="1421"/>
      <c r="BH139" s="1421"/>
      <c r="BI139" s="1421"/>
      <c r="BJ139" s="1421"/>
      <c r="BK139" s="1421"/>
      <c r="BL139" s="725"/>
    </row>
    <row r="140" spans="1:66" s="3" customFormat="1" ht="15" customHeight="1" x14ac:dyDescent="0.25">
      <c r="A140" s="835"/>
      <c r="B140" s="831"/>
      <c r="C140" s="1438"/>
      <c r="D140" s="1438"/>
      <c r="E140" s="1438"/>
      <c r="F140" s="1438"/>
      <c r="G140" s="1438"/>
      <c r="H140" s="1438"/>
      <c r="I140" s="1438"/>
      <c r="J140" s="1438"/>
      <c r="K140" s="1438"/>
      <c r="L140" s="1438"/>
      <c r="M140" s="1438"/>
      <c r="N140" s="1438"/>
      <c r="O140" s="1438"/>
      <c r="P140" s="1438"/>
      <c r="Q140" s="1438"/>
      <c r="R140" s="1438"/>
      <c r="S140" s="1438"/>
      <c r="T140" s="1438"/>
      <c r="U140" s="725"/>
      <c r="V140" s="921"/>
      <c r="W140" s="1042"/>
      <c r="AT140" s="1421"/>
      <c r="AU140" s="1421"/>
      <c r="AV140" s="1421"/>
      <c r="AW140" s="1421"/>
      <c r="AX140" s="1421"/>
      <c r="AY140" s="1421"/>
      <c r="AZ140" s="1421"/>
      <c r="BA140" s="1421"/>
      <c r="BB140" s="1421"/>
      <c r="BC140" s="1421"/>
      <c r="BD140" s="1421"/>
      <c r="BE140" s="1421"/>
      <c r="BF140" s="1421"/>
      <c r="BG140" s="1421"/>
      <c r="BH140" s="1421"/>
      <c r="BI140" s="1421"/>
      <c r="BJ140" s="1421"/>
      <c r="BK140" s="1421"/>
      <c r="BL140" s="725"/>
    </row>
    <row r="141" spans="1:66" s="3" customFormat="1" ht="15" customHeight="1" x14ac:dyDescent="0.25">
      <c r="A141" s="835"/>
      <c r="B141" s="831"/>
      <c r="C141" s="1438"/>
      <c r="D141" s="1438"/>
      <c r="E141" s="1438"/>
      <c r="F141" s="1438"/>
      <c r="G141" s="1438"/>
      <c r="H141" s="1438"/>
      <c r="I141" s="1438"/>
      <c r="J141" s="1438"/>
      <c r="K141" s="1438"/>
      <c r="L141" s="1438"/>
      <c r="M141" s="1438"/>
      <c r="N141" s="1438"/>
      <c r="O141" s="1438"/>
      <c r="P141" s="1438"/>
      <c r="Q141" s="1438"/>
      <c r="R141" s="1438"/>
      <c r="S141" s="1438"/>
      <c r="T141" s="1438"/>
      <c r="U141" s="725"/>
      <c r="V141" s="921"/>
      <c r="W141" s="9"/>
      <c r="AT141" s="1421"/>
      <c r="AU141" s="1421"/>
      <c r="AV141" s="1421"/>
      <c r="AW141" s="1421"/>
      <c r="AX141" s="1421"/>
      <c r="AY141" s="1421"/>
      <c r="AZ141" s="1421"/>
      <c r="BA141" s="1421"/>
      <c r="BB141" s="1421"/>
      <c r="BC141" s="1421"/>
      <c r="BD141" s="1421"/>
      <c r="BE141" s="1421"/>
      <c r="BF141" s="1421"/>
      <c r="BG141" s="1421"/>
      <c r="BH141" s="1421"/>
      <c r="BI141" s="1421"/>
      <c r="BJ141" s="1421"/>
      <c r="BK141" s="1421"/>
      <c r="BL141" s="725"/>
    </row>
    <row r="142" spans="1:66" s="3" customFormat="1" ht="15" customHeight="1" x14ac:dyDescent="0.25">
      <c r="A142" s="835"/>
      <c r="B142" s="984" t="s">
        <v>1153</v>
      </c>
      <c r="C142" s="835"/>
      <c r="D142" s="835"/>
      <c r="E142" s="835"/>
      <c r="F142" s="835"/>
      <c r="G142" s="835"/>
      <c r="H142" s="835"/>
      <c r="I142" s="835"/>
      <c r="J142" s="835"/>
      <c r="K142" s="835"/>
      <c r="L142" s="835"/>
      <c r="M142" s="835"/>
      <c r="N142" s="835"/>
      <c r="O142" s="835"/>
      <c r="P142" s="835"/>
      <c r="Q142" s="835"/>
      <c r="R142" s="835"/>
      <c r="S142" s="835"/>
      <c r="T142" s="835"/>
      <c r="U142" s="835"/>
      <c r="V142" s="921"/>
      <c r="W142" s="9"/>
    </row>
    <row r="143" spans="1:66" s="3" customFormat="1" ht="15" hidden="1" customHeight="1" x14ac:dyDescent="0.25">
      <c r="B143" s="945"/>
      <c r="C143" s="3">
        <v>1</v>
      </c>
      <c r="D143" s="3">
        <f>C143+1</f>
        <v>2</v>
      </c>
      <c r="E143" s="3">
        <f t="shared" ref="E143:U143" si="97">D143+1</f>
        <v>3</v>
      </c>
      <c r="F143" s="3">
        <f t="shared" si="97"/>
        <v>4</v>
      </c>
      <c r="G143" s="3">
        <f t="shared" si="97"/>
        <v>5</v>
      </c>
      <c r="H143" s="3">
        <f t="shared" si="97"/>
        <v>6</v>
      </c>
      <c r="I143" s="3">
        <f t="shared" si="97"/>
        <v>7</v>
      </c>
      <c r="J143" s="3">
        <f t="shared" si="97"/>
        <v>8</v>
      </c>
      <c r="K143" s="3">
        <f t="shared" si="97"/>
        <v>9</v>
      </c>
      <c r="L143" s="3">
        <f t="shared" si="97"/>
        <v>10</v>
      </c>
      <c r="M143" s="3">
        <f t="shared" si="97"/>
        <v>11</v>
      </c>
      <c r="N143" s="3">
        <f t="shared" si="97"/>
        <v>12</v>
      </c>
      <c r="O143" s="3">
        <f t="shared" si="97"/>
        <v>13</v>
      </c>
      <c r="P143" s="3">
        <f t="shared" si="97"/>
        <v>14</v>
      </c>
      <c r="Q143" s="3">
        <f t="shared" si="97"/>
        <v>15</v>
      </c>
      <c r="R143" s="3">
        <f t="shared" si="97"/>
        <v>16</v>
      </c>
      <c r="S143" s="3">
        <f t="shared" si="97"/>
        <v>17</v>
      </c>
      <c r="T143" s="3">
        <f t="shared" si="97"/>
        <v>18</v>
      </c>
      <c r="U143" s="3">
        <f t="shared" si="97"/>
        <v>19</v>
      </c>
      <c r="V143" s="922"/>
      <c r="W143" s="9"/>
    </row>
    <row r="144" spans="1:66" s="3" customFormat="1" ht="15" hidden="1" customHeight="1" x14ac:dyDescent="0.25">
      <c r="B144" s="945"/>
      <c r="V144" s="922"/>
      <c r="W144" s="9"/>
    </row>
    <row r="145" spans="2:23" s="3" customFormat="1" ht="15" hidden="1" customHeight="1" x14ac:dyDescent="0.25">
      <c r="B145" s="945"/>
      <c r="V145" s="922"/>
      <c r="W145" s="9"/>
    </row>
    <row r="146" spans="2:23" s="3" customFormat="1" ht="15" hidden="1" customHeight="1" x14ac:dyDescent="0.25">
      <c r="V146" s="922"/>
      <c r="W146" s="9"/>
    </row>
    <row r="147" spans="2:23" s="3" customFormat="1" ht="15" hidden="1" customHeight="1" x14ac:dyDescent="0.25">
      <c r="V147" s="922"/>
      <c r="W147" s="9"/>
    </row>
    <row r="148" spans="2:23" s="3" customFormat="1" ht="15" hidden="1" customHeight="1" x14ac:dyDescent="0.25">
      <c r="V148" s="922"/>
      <c r="W148" s="9"/>
    </row>
    <row r="149" spans="2:23" s="3" customFormat="1" ht="15" hidden="1" customHeight="1" x14ac:dyDescent="0.25">
      <c r="V149" s="922"/>
      <c r="W149" s="9"/>
    </row>
    <row r="150" spans="2:23" s="3" customFormat="1" ht="15" customHeight="1" x14ac:dyDescent="0.25">
      <c r="V150" s="922"/>
      <c r="W150" s="9"/>
    </row>
    <row r="151" spans="2:23" s="3" customFormat="1" ht="15" customHeight="1" x14ac:dyDescent="0.25">
      <c r="V151" s="922"/>
      <c r="W151" s="9"/>
    </row>
    <row r="152" spans="2:23" s="3" customFormat="1" ht="15" customHeight="1" x14ac:dyDescent="0.25">
      <c r="V152" s="922"/>
      <c r="W152" s="9"/>
    </row>
    <row r="153" spans="2:23" s="3" customFormat="1" ht="15" customHeight="1" x14ac:dyDescent="0.25">
      <c r="V153" s="922"/>
      <c r="W153" s="9"/>
    </row>
    <row r="154" spans="2:23" s="3" customFormat="1" ht="15" customHeight="1" x14ac:dyDescent="0.25">
      <c r="V154" s="922"/>
      <c r="W154" s="9"/>
    </row>
    <row r="155" spans="2:23" s="3" customFormat="1" ht="15" customHeight="1" x14ac:dyDescent="0.25">
      <c r="V155" s="922"/>
      <c r="W155" s="9"/>
    </row>
    <row r="156" spans="2:23" s="3" customFormat="1" ht="15" customHeight="1" x14ac:dyDescent="0.25">
      <c r="V156" s="922"/>
      <c r="W156" s="9"/>
    </row>
    <row r="157" spans="2:23" s="3" customFormat="1" ht="15" customHeight="1" x14ac:dyDescent="0.25">
      <c r="V157" s="922"/>
      <c r="W157" s="9"/>
    </row>
    <row r="158" spans="2:23" s="3" customFormat="1" ht="15" customHeight="1" x14ac:dyDescent="0.25">
      <c r="V158" s="922"/>
      <c r="W158" s="9"/>
    </row>
    <row r="159" spans="2:23" s="3" customFormat="1" ht="15" customHeight="1" x14ac:dyDescent="0.25">
      <c r="V159" s="922"/>
      <c r="W159" s="9"/>
    </row>
    <row r="160" spans="2:23" s="3" customFormat="1" ht="15" customHeight="1" x14ac:dyDescent="0.25">
      <c r="V160" s="922"/>
      <c r="W160" s="9"/>
    </row>
    <row r="161" spans="22:23" s="3" customFormat="1" ht="15" customHeight="1" x14ac:dyDescent="0.25">
      <c r="V161" s="922"/>
      <c r="W161" s="9"/>
    </row>
    <row r="162" spans="22:23" s="3" customFormat="1" ht="15" customHeight="1" x14ac:dyDescent="0.25">
      <c r="V162" s="922"/>
      <c r="W162" s="9"/>
    </row>
    <row r="163" spans="22:23" s="3" customFormat="1" ht="15" customHeight="1" x14ac:dyDescent="0.25">
      <c r="V163" s="922"/>
      <c r="W163" s="9"/>
    </row>
    <row r="164" spans="22:23" s="3" customFormat="1" ht="15" customHeight="1" x14ac:dyDescent="0.25">
      <c r="V164" s="922"/>
      <c r="W164" s="9"/>
    </row>
    <row r="165" spans="22:23" s="3" customFormat="1" ht="15" customHeight="1" x14ac:dyDescent="0.25">
      <c r="V165" s="922"/>
      <c r="W165" s="9"/>
    </row>
    <row r="166" spans="22:23" s="3" customFormat="1" ht="15" customHeight="1" x14ac:dyDescent="0.25">
      <c r="V166" s="922"/>
      <c r="W166" s="9"/>
    </row>
    <row r="167" spans="22:23" s="3" customFormat="1" ht="15" customHeight="1" x14ac:dyDescent="0.25">
      <c r="V167" s="922"/>
      <c r="W167" s="9"/>
    </row>
    <row r="168" spans="22:23" s="3" customFormat="1" ht="15" customHeight="1" x14ac:dyDescent="0.25">
      <c r="V168" s="922"/>
      <c r="W168" s="9"/>
    </row>
    <row r="169" spans="22:23" s="3" customFormat="1" ht="15" customHeight="1" x14ac:dyDescent="0.25">
      <c r="V169" s="922"/>
      <c r="W169" s="9"/>
    </row>
    <row r="170" spans="22:23" s="3" customFormat="1" ht="15" customHeight="1" x14ac:dyDescent="0.25">
      <c r="V170" s="922"/>
      <c r="W170" s="9"/>
    </row>
    <row r="171" spans="22:23" s="3" customFormat="1" ht="15" customHeight="1" x14ac:dyDescent="0.25">
      <c r="V171" s="922"/>
      <c r="W171" s="9"/>
    </row>
    <row r="172" spans="22:23" s="3" customFormat="1" ht="15" customHeight="1" x14ac:dyDescent="0.25">
      <c r="V172" s="922"/>
      <c r="W172" s="9"/>
    </row>
    <row r="173" spans="22:23" s="3" customFormat="1" ht="15" customHeight="1" x14ac:dyDescent="0.25">
      <c r="V173" s="922"/>
      <c r="W173" s="9"/>
    </row>
    <row r="174" spans="22:23" s="3" customFormat="1" ht="15" customHeight="1" x14ac:dyDescent="0.25">
      <c r="V174" s="922"/>
      <c r="W174" s="9"/>
    </row>
    <row r="175" spans="22:23" s="3" customFormat="1" ht="15" customHeight="1" x14ac:dyDescent="0.25">
      <c r="V175" s="922"/>
      <c r="W175" s="9"/>
    </row>
    <row r="176" spans="22:23" s="3" customFormat="1" ht="15" customHeight="1" x14ac:dyDescent="0.25">
      <c r="V176" s="922"/>
      <c r="W176" s="9"/>
    </row>
    <row r="177" spans="22:23" s="3" customFormat="1" ht="15" customHeight="1" x14ac:dyDescent="0.25">
      <c r="V177" s="922"/>
      <c r="W177" s="9"/>
    </row>
    <row r="178" spans="22:23" s="3" customFormat="1" ht="15" customHeight="1" x14ac:dyDescent="0.25">
      <c r="V178" s="922"/>
      <c r="W178" s="9"/>
    </row>
    <row r="179" spans="22:23" s="3" customFormat="1" ht="15" customHeight="1" x14ac:dyDescent="0.25">
      <c r="V179" s="922"/>
      <c r="W179" s="9"/>
    </row>
    <row r="180" spans="22:23" s="3" customFormat="1" ht="15" customHeight="1" x14ac:dyDescent="0.25">
      <c r="V180" s="922"/>
      <c r="W180" s="9"/>
    </row>
    <row r="181" spans="22:23" s="3" customFormat="1" ht="15" customHeight="1" x14ac:dyDescent="0.25">
      <c r="V181" s="922"/>
      <c r="W181" s="9"/>
    </row>
    <row r="182" spans="22:23" s="3" customFormat="1" ht="15" customHeight="1" x14ac:dyDescent="0.25">
      <c r="V182" s="922"/>
      <c r="W182" s="9"/>
    </row>
    <row r="183" spans="22:23" s="3" customFormat="1" ht="15" customHeight="1" x14ac:dyDescent="0.25">
      <c r="V183" s="922"/>
      <c r="W183" s="9"/>
    </row>
    <row r="184" spans="22:23" s="3" customFormat="1" ht="15" customHeight="1" x14ac:dyDescent="0.25">
      <c r="V184" s="922"/>
      <c r="W184" s="9"/>
    </row>
    <row r="185" spans="22:23" s="3" customFormat="1" ht="15" customHeight="1" x14ac:dyDescent="0.25">
      <c r="V185" s="922"/>
      <c r="W185" s="9"/>
    </row>
    <row r="186" spans="22:23" s="3" customFormat="1" ht="15" customHeight="1" x14ac:dyDescent="0.25">
      <c r="V186" s="922"/>
      <c r="W186" s="9"/>
    </row>
    <row r="187" spans="22:23" s="3" customFormat="1" ht="15" customHeight="1" x14ac:dyDescent="0.25">
      <c r="V187" s="922"/>
      <c r="W187" s="9"/>
    </row>
    <row r="188" spans="22:23" s="3" customFormat="1" ht="15" customHeight="1" x14ac:dyDescent="0.25">
      <c r="V188" s="922"/>
      <c r="W188" s="9"/>
    </row>
    <row r="189" spans="22:23" s="3" customFormat="1" ht="15" customHeight="1" x14ac:dyDescent="0.25">
      <c r="V189" s="922"/>
      <c r="W189" s="9"/>
    </row>
    <row r="190" spans="22:23" s="3" customFormat="1" ht="15" customHeight="1" x14ac:dyDescent="0.25">
      <c r="V190" s="922"/>
      <c r="W190" s="9"/>
    </row>
    <row r="191" spans="22:23" s="3" customFormat="1" ht="15" customHeight="1" x14ac:dyDescent="0.25">
      <c r="V191" s="922"/>
      <c r="W191" s="9"/>
    </row>
    <row r="192" spans="22:23" s="3" customFormat="1" ht="15" customHeight="1" x14ac:dyDescent="0.25">
      <c r="V192" s="922"/>
      <c r="W192" s="9"/>
    </row>
    <row r="193" spans="22:75" s="3" customFormat="1" ht="15" customHeight="1" x14ac:dyDescent="0.25">
      <c r="V193" s="922"/>
      <c r="W193" s="9"/>
    </row>
    <row r="194" spans="22:75" s="3" customFormat="1" ht="15" customHeight="1" x14ac:dyDescent="0.25">
      <c r="V194" s="922"/>
      <c r="W194" s="9"/>
    </row>
    <row r="195" spans="22:75" s="3" customFormat="1" ht="15" customHeight="1" x14ac:dyDescent="0.25">
      <c r="V195" s="922"/>
      <c r="W195" s="9"/>
    </row>
    <row r="196" spans="22:75" s="3" customFormat="1" ht="15" customHeight="1" x14ac:dyDescent="0.25">
      <c r="V196" s="922"/>
      <c r="W196" s="9"/>
    </row>
    <row r="197" spans="22:75" s="3" customFormat="1" ht="15" customHeight="1" x14ac:dyDescent="0.25">
      <c r="V197" s="922"/>
      <c r="W197" s="9"/>
    </row>
    <row r="198" spans="22:75" s="3" customFormat="1" ht="15" customHeight="1" x14ac:dyDescent="0.25">
      <c r="V198" s="922"/>
      <c r="W198" s="9"/>
    </row>
    <row r="199" spans="22:75" s="3" customFormat="1" ht="15" customHeight="1" x14ac:dyDescent="0.25">
      <c r="V199" s="922"/>
      <c r="W199" s="9"/>
    </row>
    <row r="200" spans="22:75" s="3" customFormat="1" ht="15" customHeight="1" x14ac:dyDescent="0.25">
      <c r="V200" s="922"/>
      <c r="W200" s="9"/>
    </row>
    <row r="201" spans="22:75" s="3" customFormat="1" ht="15" customHeight="1" x14ac:dyDescent="0.25">
      <c r="V201" s="922"/>
      <c r="W201" s="9"/>
    </row>
    <row r="202" spans="22:75" s="3" customFormat="1" ht="15" customHeight="1" x14ac:dyDescent="0.25">
      <c r="V202" s="922"/>
      <c r="W202" s="9"/>
    </row>
    <row r="203" spans="22:75" s="3" customFormat="1" ht="15" customHeight="1" x14ac:dyDescent="0.25">
      <c r="V203" s="922"/>
      <c r="W203" s="9"/>
    </row>
    <row r="204" spans="22:75" s="3" customFormat="1" ht="15" customHeight="1" x14ac:dyDescent="0.25">
      <c r="V204" s="922"/>
      <c r="W204" s="9"/>
    </row>
    <row r="205" spans="22:75" s="3" customFormat="1" ht="15" customHeight="1" x14ac:dyDescent="0.25">
      <c r="V205" s="922"/>
      <c r="W205" s="9"/>
    </row>
    <row r="206" spans="22:75" s="3" customFormat="1" ht="15" customHeight="1" x14ac:dyDescent="0.25">
      <c r="V206" s="922"/>
      <c r="W206" s="9"/>
    </row>
    <row r="207" spans="22:75" s="3" customFormat="1" ht="15" customHeight="1" x14ac:dyDescent="0.25">
      <c r="V207" s="922"/>
      <c r="W207" s="9"/>
      <c r="BW207"/>
    </row>
    <row r="208" spans="22:75" s="3" customFormat="1" ht="15" customHeight="1" x14ac:dyDescent="0.25">
      <c r="V208" s="922"/>
      <c r="W208" s="9"/>
      <c r="BW208"/>
    </row>
    <row r="209" spans="2:88" s="3" customFormat="1" ht="15" customHeight="1" x14ac:dyDescent="0.25">
      <c r="V209" s="922"/>
      <c r="W209" s="9"/>
      <c r="BQ209"/>
      <c r="BR209"/>
      <c r="BS209"/>
      <c r="BT209"/>
      <c r="BU209"/>
      <c r="BV209"/>
      <c r="BW209"/>
      <c r="BX209"/>
      <c r="BY209"/>
      <c r="BZ209"/>
      <c r="CA209"/>
      <c r="CB209"/>
      <c r="CC209"/>
      <c r="CD209"/>
      <c r="CE209"/>
      <c r="CF209"/>
      <c r="CG209"/>
      <c r="CH209"/>
      <c r="CI209"/>
      <c r="CJ209"/>
    </row>
    <row r="210" spans="2:88" ht="15" customHeight="1" x14ac:dyDescent="0.25">
      <c r="B210" s="3"/>
      <c r="C210" s="3"/>
      <c r="D210" s="3"/>
      <c r="E210" s="3"/>
      <c r="F210" s="3"/>
      <c r="G210" s="3"/>
      <c r="H210" s="3"/>
      <c r="I210" s="3"/>
      <c r="J210" s="3"/>
      <c r="K210" s="3"/>
      <c r="L210" s="3"/>
      <c r="M210" s="3"/>
      <c r="N210" s="3"/>
      <c r="O210" s="3"/>
      <c r="P210" s="3"/>
      <c r="Q210" s="3"/>
      <c r="R210" s="3"/>
      <c r="S210" s="3"/>
      <c r="T210" s="3"/>
      <c r="U210" s="3"/>
      <c r="V210" s="922"/>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row>
    <row r="211" spans="2:88" ht="15" customHeight="1" x14ac:dyDescent="0.25">
      <c r="B211" s="3"/>
      <c r="C211" s="3"/>
      <c r="D211" s="3"/>
      <c r="E211" s="3"/>
      <c r="F211" s="3"/>
      <c r="G211" s="3"/>
      <c r="H211" s="3"/>
      <c r="I211" s="3"/>
      <c r="J211" s="3"/>
      <c r="K211" s="3"/>
      <c r="L211" s="3"/>
      <c r="M211" s="3"/>
      <c r="N211" s="3"/>
      <c r="O211" s="3"/>
      <c r="P211" s="3"/>
      <c r="Q211" s="3"/>
      <c r="R211" s="3"/>
      <c r="S211" s="3"/>
      <c r="T211" s="3"/>
      <c r="U211" s="3"/>
      <c r="V211" s="922"/>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row>
    <row r="212" spans="2:88" ht="15" customHeight="1" x14ac:dyDescent="0.25">
      <c r="B212" s="3"/>
      <c r="C212" s="3"/>
      <c r="D212" s="3"/>
      <c r="E212" s="3"/>
      <c r="F212" s="3"/>
      <c r="G212" s="3"/>
      <c r="H212" s="3"/>
      <c r="I212" s="3"/>
      <c r="J212" s="3"/>
      <c r="K212" s="3"/>
      <c r="L212" s="3"/>
      <c r="M212" s="3"/>
      <c r="N212" s="3"/>
      <c r="O212" s="3"/>
      <c r="P212" s="3"/>
      <c r="Q212" s="3"/>
      <c r="R212" s="3"/>
      <c r="S212" s="3"/>
      <c r="T212" s="3"/>
      <c r="U212" s="3"/>
      <c r="V212" s="922"/>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row>
    <row r="213" spans="2:88" ht="15" customHeight="1" x14ac:dyDescent="0.25">
      <c r="B213" s="3"/>
      <c r="C213" s="3"/>
      <c r="D213" s="3"/>
      <c r="E213" s="3"/>
      <c r="F213" s="3"/>
      <c r="G213" s="3"/>
      <c r="H213" s="3"/>
      <c r="I213" s="3"/>
      <c r="J213" s="3"/>
      <c r="K213" s="3"/>
      <c r="L213" s="3"/>
      <c r="M213" s="3"/>
      <c r="N213" s="3"/>
      <c r="O213" s="3"/>
      <c r="P213" s="3"/>
      <c r="Q213" s="3"/>
      <c r="R213" s="3"/>
      <c r="S213" s="3"/>
      <c r="T213" s="3"/>
      <c r="U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row>
    <row r="214" spans="2:88" ht="15" customHeight="1" x14ac:dyDescent="0.25">
      <c r="B214" s="3"/>
      <c r="C214" s="3"/>
      <c r="D214" s="3"/>
      <c r="E214" s="3"/>
      <c r="F214" s="3"/>
      <c r="G214" s="3"/>
      <c r="H214" s="3"/>
      <c r="I214" s="3"/>
      <c r="J214" s="3"/>
      <c r="K214" s="3"/>
      <c r="L214" s="3"/>
      <c r="M214" s="3"/>
      <c r="N214" s="3"/>
      <c r="O214" s="3"/>
      <c r="P214" s="3"/>
      <c r="Q214" s="3"/>
      <c r="R214" s="3"/>
      <c r="S214" s="3"/>
      <c r="T214" s="3"/>
      <c r="U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row>
    <row r="215" spans="2:88" ht="15" customHeight="1" x14ac:dyDescent="0.25">
      <c r="C215" s="3"/>
      <c r="D215" s="3"/>
      <c r="E215" s="3"/>
      <c r="F215" s="3"/>
      <c r="G215" s="3"/>
      <c r="H215" s="3"/>
      <c r="I215" s="3"/>
      <c r="J215" s="3"/>
      <c r="K215" s="3"/>
      <c r="L215" s="3"/>
      <c r="M215" s="3"/>
      <c r="N215" s="3"/>
      <c r="O215" s="3"/>
      <c r="P215" s="3"/>
      <c r="Q215" s="3"/>
      <c r="R215" s="3"/>
      <c r="S215" s="3"/>
      <c r="T215" s="3"/>
      <c r="U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row>
    <row r="216" spans="2:88" ht="15" customHeight="1" x14ac:dyDescent="0.25">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row>
    <row r="217" spans="2:88" ht="15" customHeight="1" x14ac:dyDescent="0.25">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row>
    <row r="218" spans="2:88" ht="15" customHeight="1" x14ac:dyDescent="0.25">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row>
    <row r="219" spans="2:88" ht="15" customHeight="1" x14ac:dyDescent="0.25">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row>
    <row r="220" spans="2:88" ht="15" customHeight="1" x14ac:dyDescent="0.25">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row>
    <row r="221" spans="2:88" ht="15" customHeight="1" x14ac:dyDescent="0.25">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row>
    <row r="222" spans="2:88" ht="15" customHeight="1" x14ac:dyDescent="0.25">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row>
    <row r="223" spans="2:88" ht="15" customHeight="1" x14ac:dyDescent="0.25">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row>
    <row r="224" spans="2:88" ht="15" customHeight="1" x14ac:dyDescent="0.25">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row>
    <row r="225" spans="24:45" ht="15" customHeight="1" x14ac:dyDescent="0.25">
      <c r="X225" s="3"/>
      <c r="Z225" s="3"/>
      <c r="AA225" s="3"/>
      <c r="AB225" s="3"/>
      <c r="AC225" s="3"/>
      <c r="AD225" s="3"/>
      <c r="AE225" s="3"/>
      <c r="AF225" s="3"/>
      <c r="AG225" s="3"/>
      <c r="AH225" s="3"/>
      <c r="AI225" s="3"/>
      <c r="AJ225" s="3"/>
      <c r="AK225" s="3"/>
      <c r="AL225" s="3"/>
      <c r="AM225" s="3"/>
      <c r="AN225" s="3"/>
      <c r="AO225" s="3"/>
      <c r="AP225" s="3"/>
      <c r="AQ225" s="3"/>
      <c r="AR225" s="3"/>
      <c r="AS225" s="3"/>
    </row>
    <row r="226" spans="24:45" ht="15" customHeight="1" x14ac:dyDescent="0.25">
      <c r="Z226" s="3"/>
      <c r="AA226" s="3"/>
      <c r="AB226" s="3"/>
      <c r="AC226" s="3"/>
      <c r="AD226" s="3"/>
      <c r="AE226" s="3"/>
      <c r="AF226" s="3"/>
      <c r="AG226" s="3"/>
      <c r="AH226" s="3"/>
      <c r="AI226" s="3"/>
      <c r="AJ226" s="3"/>
      <c r="AK226" s="3"/>
      <c r="AL226" s="3"/>
      <c r="AM226" s="3"/>
      <c r="AN226" s="3"/>
      <c r="AO226" s="3"/>
      <c r="AP226" s="3"/>
      <c r="AQ226" s="3"/>
      <c r="AR226" s="3"/>
      <c r="AS226" s="3"/>
    </row>
  </sheetData>
  <sheetProtection password="D0D3" sheet="1" objects="1" scenarios="1"/>
  <sortState ref="L79:N84">
    <sortCondition ref="N79:N84"/>
  </sortState>
  <mergeCells count="123">
    <mergeCell ref="C8:T10"/>
    <mergeCell ref="G31:H31"/>
    <mergeCell ref="G32:H32"/>
    <mergeCell ref="G33:H33"/>
    <mergeCell ref="S24:T24"/>
    <mergeCell ref="I16:J16"/>
    <mergeCell ref="M13:N13"/>
    <mergeCell ref="M14:N14"/>
    <mergeCell ref="M15:N15"/>
    <mergeCell ref="M16:N16"/>
    <mergeCell ref="R16:S16"/>
    <mergeCell ref="F13:G13"/>
    <mergeCell ref="S31:T31"/>
    <mergeCell ref="S32:T32"/>
    <mergeCell ref="S33:T33"/>
    <mergeCell ref="M31:N31"/>
    <mergeCell ref="M32:N32"/>
    <mergeCell ref="M33:N33"/>
    <mergeCell ref="F14:G14"/>
    <mergeCell ref="F15:G15"/>
    <mergeCell ref="F16:G16"/>
    <mergeCell ref="I12:J12"/>
    <mergeCell ref="I13:J13"/>
    <mergeCell ref="I14:J14"/>
    <mergeCell ref="S30:T30"/>
    <mergeCell ref="M30:N30"/>
    <mergeCell ref="G30:H30"/>
    <mergeCell ref="R65:S65"/>
    <mergeCell ref="R69:S69"/>
    <mergeCell ref="Q53:R53"/>
    <mergeCell ref="Q54:R54"/>
    <mergeCell ref="H54:I54"/>
    <mergeCell ref="J69:L69"/>
    <mergeCell ref="G69:I69"/>
    <mergeCell ref="G35:H35"/>
    <mergeCell ref="Q52:R52"/>
    <mergeCell ref="C47:T49"/>
    <mergeCell ref="R63:S63"/>
    <mergeCell ref="R64:S64"/>
    <mergeCell ref="H52:I52"/>
    <mergeCell ref="H53:I53"/>
    <mergeCell ref="G37:H37"/>
    <mergeCell ref="M37:N37"/>
    <mergeCell ref="M36:N36"/>
    <mergeCell ref="S37:T37"/>
    <mergeCell ref="S38:T38"/>
    <mergeCell ref="I15:J15"/>
    <mergeCell ref="C27:R28"/>
    <mergeCell ref="P11:U15"/>
    <mergeCell ref="F12:G12"/>
    <mergeCell ref="C71:T73"/>
    <mergeCell ref="C17:S18"/>
    <mergeCell ref="C39:T41"/>
    <mergeCell ref="C42:R43"/>
    <mergeCell ref="C25:T25"/>
    <mergeCell ref="C21:T23"/>
    <mergeCell ref="D55:R55"/>
    <mergeCell ref="S51:U53"/>
    <mergeCell ref="R67:S67"/>
    <mergeCell ref="R68:S68"/>
    <mergeCell ref="G34:H34"/>
    <mergeCell ref="S34:T34"/>
    <mergeCell ref="S35:T35"/>
    <mergeCell ref="S36:T36"/>
    <mergeCell ref="G36:H36"/>
    <mergeCell ref="M34:N34"/>
    <mergeCell ref="M35:N35"/>
    <mergeCell ref="M38:N38"/>
    <mergeCell ref="G38:H38"/>
    <mergeCell ref="S43:T43"/>
    <mergeCell ref="C138:T141"/>
    <mergeCell ref="I136:J136"/>
    <mergeCell ref="O135:P135"/>
    <mergeCell ref="O136:P136"/>
    <mergeCell ref="R135:S135"/>
    <mergeCell ref="R136:S136"/>
    <mergeCell ref="C97:T99"/>
    <mergeCell ref="D115:T116"/>
    <mergeCell ref="I127:J127"/>
    <mergeCell ref="I128:J128"/>
    <mergeCell ref="O127:P127"/>
    <mergeCell ref="O128:P128"/>
    <mergeCell ref="R127:S127"/>
    <mergeCell ref="R128:S128"/>
    <mergeCell ref="I135:J135"/>
    <mergeCell ref="C130:S132"/>
    <mergeCell ref="C75:T79"/>
    <mergeCell ref="C81:T84"/>
    <mergeCell ref="D69:F69"/>
    <mergeCell ref="C45:T46"/>
    <mergeCell ref="C57:T60"/>
    <mergeCell ref="BI127:BJ127"/>
    <mergeCell ref="AZ128:BA128"/>
    <mergeCell ref="BF128:BG128"/>
    <mergeCell ref="BI128:BJ128"/>
    <mergeCell ref="AU115:BK116"/>
    <mergeCell ref="AU117:BK119"/>
    <mergeCell ref="C121:T124"/>
    <mergeCell ref="D117:T119"/>
    <mergeCell ref="B2:U4"/>
    <mergeCell ref="AM139:AN139"/>
    <mergeCell ref="I134:J134"/>
    <mergeCell ref="BM136:BN136"/>
    <mergeCell ref="BM135:BN135"/>
    <mergeCell ref="O134:P134"/>
    <mergeCell ref="R133:S133"/>
    <mergeCell ref="AT138:BK141"/>
    <mergeCell ref="I89:K93"/>
    <mergeCell ref="R89:T93"/>
    <mergeCell ref="AM135:AN135"/>
    <mergeCell ref="AP135:AQ135"/>
    <mergeCell ref="AM136:AN136"/>
    <mergeCell ref="AP136:AQ136"/>
    <mergeCell ref="AT130:BJ132"/>
    <mergeCell ref="AZ135:BA135"/>
    <mergeCell ref="BF135:BG135"/>
    <mergeCell ref="BI135:BJ135"/>
    <mergeCell ref="AZ136:BA136"/>
    <mergeCell ref="BF136:BG136"/>
    <mergeCell ref="BI136:BJ136"/>
    <mergeCell ref="AT121:BK124"/>
    <mergeCell ref="AZ127:BA127"/>
    <mergeCell ref="BF127:BG127"/>
  </mergeCells>
  <conditionalFormatting sqref="D93:G93 M93:P93">
    <cfRule type="cellIs" dxfId="43" priority="21" operator="equal">
      <formula>" "</formula>
    </cfRule>
    <cfRule type="cellIs" dxfId="42" priority="23" operator="equal">
      <formula>" "</formula>
    </cfRule>
  </conditionalFormatting>
  <conditionalFormatting sqref="D62:L69 D108:H108 M108:Q108 P36:T37 J36:N37 D36:H37">
    <cfRule type="cellIs" dxfId="41" priority="22" operator="equal">
      <formula>" "</formula>
    </cfRule>
  </conditionalFormatting>
  <conditionalFormatting sqref="G88 P88">
    <cfRule type="cellIs" dxfId="40" priority="18" operator="equal">
      <formula>" "</formula>
    </cfRule>
  </conditionalFormatting>
  <conditionalFormatting sqref="G38:H38 M38:N38 S38:T38">
    <cfRule type="cellIs" dxfId="39" priority="14" operator="equal">
      <formula>0</formula>
    </cfRule>
  </conditionalFormatting>
  <printOptions horizontalCentered="1" verticalCentered="1"/>
  <pageMargins left="0.39370078740157483" right="0.39370078740157483" top="0.39370078740157483" bottom="0.39370078740157483" header="0.31496062992125984" footer="0.31496062992125984"/>
  <pageSetup paperSize="9" scale="79" orientation="portrait" verticalDpi="0" r:id="rId1"/>
  <ignoredErrors>
    <ignoredError sqref="AG94 R137:S13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N295"/>
  <sheetViews>
    <sheetView zoomScale="75" zoomScaleNormal="75" workbookViewId="0">
      <selection activeCell="C2" sqref="C2:AR3"/>
    </sheetView>
  </sheetViews>
  <sheetFormatPr defaultColWidth="5.7109375" defaultRowHeight="15.6" customHeight="1" x14ac:dyDescent="0.25"/>
  <cols>
    <col min="1" max="1" width="2.28515625" style="328" customWidth="1"/>
    <col min="2" max="2" width="1.7109375" style="328" customWidth="1"/>
    <col min="3" max="8" width="6.7109375" style="328" customWidth="1"/>
    <col min="9" max="9" width="3.7109375" style="328" customWidth="1"/>
    <col min="10" max="12" width="5.7109375" style="328" customWidth="1"/>
    <col min="13" max="15" width="6.7109375" style="328" customWidth="1"/>
    <col min="16" max="16" width="3.7109375" style="328" customWidth="1"/>
    <col min="17" max="19" width="5.7109375" style="328" customWidth="1"/>
    <col min="20" max="22" width="6.7109375" style="328" customWidth="1"/>
    <col min="23" max="24" width="1.7109375" style="328" customWidth="1"/>
    <col min="25" max="30" width="6.7109375" style="328" customWidth="1"/>
    <col min="31" max="31" width="3.7109375" style="328" customWidth="1"/>
    <col min="32" max="34" width="5.7109375" style="328" customWidth="1"/>
    <col min="35" max="37" width="6.7109375" style="328" customWidth="1"/>
    <col min="38" max="38" width="3.7109375" style="328" customWidth="1"/>
    <col min="39" max="41" width="5.7109375" style="328" customWidth="1"/>
    <col min="42" max="44" width="6.7109375" style="328" customWidth="1"/>
    <col min="45" max="45" width="1.7109375" style="3" customWidth="1"/>
    <col min="46" max="46" width="2.28515625" style="3" customWidth="1"/>
    <col min="47" max="47" width="5.7109375" style="3" customWidth="1"/>
    <col min="48" max="48" width="7" style="3" customWidth="1"/>
    <col min="49" max="49" width="9" style="3" customWidth="1"/>
    <col min="50" max="50" width="5.7109375" style="3"/>
    <col min="51" max="51" width="8.5703125" style="3" customWidth="1"/>
    <col min="52" max="52" width="7.28515625" style="3" customWidth="1"/>
    <col min="53" max="53" width="8.5703125" style="3" customWidth="1"/>
    <col min="54" max="54" width="5.7109375" style="3" customWidth="1"/>
    <col min="55" max="57" width="5.7109375" style="3"/>
    <col min="58" max="58" width="9" style="3" bestFit="1" customWidth="1"/>
    <col min="59" max="16384" width="5.7109375" style="3"/>
  </cols>
  <sheetData>
    <row r="1" spans="1:46" ht="10.15" customHeight="1" x14ac:dyDescent="0.25">
      <c r="A1" s="1100"/>
      <c r="B1" s="1106"/>
      <c r="C1" s="1106"/>
      <c r="D1" s="1106"/>
      <c r="E1" s="1106"/>
      <c r="F1" s="1106"/>
      <c r="G1" s="1106"/>
      <c r="H1" s="1106"/>
      <c r="I1" s="1106"/>
      <c r="J1" s="1106"/>
      <c r="K1" s="1106"/>
      <c r="L1" s="1106"/>
      <c r="M1" s="1106"/>
      <c r="N1" s="1106"/>
      <c r="O1" s="1106"/>
      <c r="P1" s="1106"/>
      <c r="Q1" s="1106"/>
      <c r="R1" s="1106"/>
      <c r="S1" s="1106"/>
      <c r="T1" s="1106"/>
      <c r="U1" s="1106"/>
      <c r="V1" s="1106"/>
      <c r="W1" s="1106"/>
      <c r="X1" s="1106"/>
      <c r="Y1" s="1106"/>
      <c r="Z1" s="1106"/>
      <c r="AA1" s="1106"/>
      <c r="AB1" s="1106"/>
      <c r="AC1" s="1106"/>
      <c r="AD1" s="1106"/>
      <c r="AE1" s="1106"/>
      <c r="AF1" s="1106"/>
      <c r="AG1" s="1106"/>
      <c r="AH1" s="1106"/>
      <c r="AI1" s="1106"/>
      <c r="AJ1" s="1106"/>
      <c r="AK1" s="1106"/>
      <c r="AL1" s="1106"/>
      <c r="AM1" s="1106"/>
      <c r="AN1" s="1106"/>
      <c r="AO1" s="1106"/>
      <c r="AP1" s="1106"/>
      <c r="AQ1" s="1106"/>
      <c r="AR1" s="1106"/>
      <c r="AS1" s="1106"/>
      <c r="AT1" s="1108"/>
    </row>
    <row r="2" spans="1:46" ht="15" customHeight="1" x14ac:dyDescent="0.25">
      <c r="A2" s="1100"/>
      <c r="B2" s="951"/>
      <c r="C2" s="1541" t="s">
        <v>1301</v>
      </c>
      <c r="D2" s="1541"/>
      <c r="E2" s="1541"/>
      <c r="F2" s="1541"/>
      <c r="G2" s="1541"/>
      <c r="H2" s="1541"/>
      <c r="I2" s="1541"/>
      <c r="J2" s="1541"/>
      <c r="K2" s="1541"/>
      <c r="L2" s="1541"/>
      <c r="M2" s="1541"/>
      <c r="N2" s="1541"/>
      <c r="O2" s="1541"/>
      <c r="P2" s="1541"/>
      <c r="Q2" s="1541"/>
      <c r="R2" s="1541"/>
      <c r="S2" s="1541"/>
      <c r="T2" s="1541"/>
      <c r="U2" s="1541"/>
      <c r="V2" s="1541"/>
      <c r="W2" s="1541"/>
      <c r="X2" s="1541"/>
      <c r="Y2" s="1541"/>
      <c r="Z2" s="1541"/>
      <c r="AA2" s="1541"/>
      <c r="AB2" s="1541"/>
      <c r="AC2" s="1541"/>
      <c r="AD2" s="1541"/>
      <c r="AE2" s="1541"/>
      <c r="AF2" s="1541"/>
      <c r="AG2" s="1541"/>
      <c r="AH2" s="1541"/>
      <c r="AI2" s="1541"/>
      <c r="AJ2" s="1541"/>
      <c r="AK2" s="1541"/>
      <c r="AL2" s="1541"/>
      <c r="AM2" s="1541"/>
      <c r="AN2" s="1541"/>
      <c r="AO2" s="1541"/>
      <c r="AP2" s="1541"/>
      <c r="AQ2" s="1541"/>
      <c r="AR2" s="1541"/>
      <c r="AS2" s="725"/>
      <c r="AT2" s="1108"/>
    </row>
    <row r="3" spans="1:46" ht="15" customHeight="1" x14ac:dyDescent="0.25">
      <c r="A3" s="1100"/>
      <c r="B3" s="951"/>
      <c r="C3" s="1541"/>
      <c r="D3" s="1541"/>
      <c r="E3" s="1541"/>
      <c r="F3" s="1541"/>
      <c r="G3" s="1541"/>
      <c r="H3" s="1541"/>
      <c r="I3" s="1541"/>
      <c r="J3" s="1541"/>
      <c r="K3" s="1541"/>
      <c r="L3" s="1541"/>
      <c r="M3" s="1541"/>
      <c r="N3" s="1541"/>
      <c r="O3" s="1541"/>
      <c r="P3" s="1541"/>
      <c r="Q3" s="1541"/>
      <c r="R3" s="1541"/>
      <c r="S3" s="1541"/>
      <c r="T3" s="1541"/>
      <c r="U3" s="1541"/>
      <c r="V3" s="1541"/>
      <c r="W3" s="1541"/>
      <c r="X3" s="1541"/>
      <c r="Y3" s="1541"/>
      <c r="Z3" s="1541"/>
      <c r="AA3" s="1541"/>
      <c r="AB3" s="1541"/>
      <c r="AC3" s="1541"/>
      <c r="AD3" s="1541"/>
      <c r="AE3" s="1541"/>
      <c r="AF3" s="1541"/>
      <c r="AG3" s="1541"/>
      <c r="AH3" s="1541"/>
      <c r="AI3" s="1541"/>
      <c r="AJ3" s="1541"/>
      <c r="AK3" s="1541"/>
      <c r="AL3" s="1541"/>
      <c r="AM3" s="1541"/>
      <c r="AN3" s="1541"/>
      <c r="AO3" s="1541"/>
      <c r="AP3" s="1541"/>
      <c r="AQ3" s="1541"/>
      <c r="AR3" s="1541"/>
      <c r="AS3" s="725"/>
      <c r="AT3" s="1108"/>
    </row>
    <row r="4" spans="1:46" ht="18" customHeight="1" x14ac:dyDescent="0.25">
      <c r="A4" s="1100"/>
      <c r="B4" s="951"/>
      <c r="C4" s="1540" t="s">
        <v>1154</v>
      </c>
      <c r="D4" s="1540"/>
      <c r="E4" s="1540"/>
      <c r="F4" s="1540"/>
      <c r="G4" s="1540"/>
      <c r="H4" s="1540"/>
      <c r="I4" s="1540"/>
      <c r="J4" s="1540"/>
      <c r="K4" s="1540"/>
      <c r="L4" s="1540"/>
      <c r="M4" s="1540"/>
      <c r="N4" s="1540"/>
      <c r="O4" s="1540"/>
      <c r="P4" s="1540"/>
      <c r="Q4" s="1540"/>
      <c r="R4" s="1540"/>
      <c r="S4" s="1540"/>
      <c r="T4" s="1540"/>
      <c r="U4" s="1540"/>
      <c r="V4" s="1540"/>
      <c r="W4" s="1540"/>
      <c r="X4" s="1540"/>
      <c r="Y4" s="1540"/>
      <c r="Z4" s="1540"/>
      <c r="AA4" s="1540"/>
      <c r="AB4" s="1540"/>
      <c r="AC4" s="1540"/>
      <c r="AD4" s="1540"/>
      <c r="AE4" s="1540"/>
      <c r="AF4" s="1540"/>
      <c r="AG4" s="1540"/>
      <c r="AH4" s="1540"/>
      <c r="AI4" s="1540"/>
      <c r="AJ4" s="1540"/>
      <c r="AK4" s="1540"/>
      <c r="AL4" s="1540"/>
      <c r="AM4" s="1540"/>
      <c r="AN4" s="1540"/>
      <c r="AO4" s="1540"/>
      <c r="AP4" s="1540"/>
      <c r="AQ4" s="1540"/>
      <c r="AR4" s="264"/>
      <c r="AS4" s="725"/>
      <c r="AT4" s="1108"/>
    </row>
    <row r="5" spans="1:46" ht="18" customHeight="1" x14ac:dyDescent="0.25">
      <c r="A5" s="1100"/>
      <c r="B5" s="951"/>
      <c r="C5" s="1540"/>
      <c r="D5" s="1540"/>
      <c r="E5" s="1540"/>
      <c r="F5" s="1540"/>
      <c r="G5" s="1540"/>
      <c r="H5" s="1540"/>
      <c r="I5" s="1540"/>
      <c r="J5" s="1540"/>
      <c r="K5" s="1540"/>
      <c r="L5" s="1540"/>
      <c r="M5" s="1540"/>
      <c r="N5" s="1540"/>
      <c r="O5" s="1540"/>
      <c r="P5" s="1540"/>
      <c r="Q5" s="1540"/>
      <c r="R5" s="1540"/>
      <c r="S5" s="1540"/>
      <c r="T5" s="1540"/>
      <c r="U5" s="1540"/>
      <c r="V5" s="1540"/>
      <c r="W5" s="1540"/>
      <c r="X5" s="1540"/>
      <c r="Y5" s="1540"/>
      <c r="Z5" s="1540"/>
      <c r="AA5" s="1540"/>
      <c r="AB5" s="1540"/>
      <c r="AC5" s="1540"/>
      <c r="AD5" s="1540"/>
      <c r="AE5" s="1540"/>
      <c r="AF5" s="1540"/>
      <c r="AG5" s="1540"/>
      <c r="AH5" s="1540"/>
      <c r="AI5" s="1540"/>
      <c r="AJ5" s="1540"/>
      <c r="AK5" s="1540"/>
      <c r="AL5" s="1540"/>
      <c r="AM5" s="1540"/>
      <c r="AN5" s="1540"/>
      <c r="AO5" s="1540"/>
      <c r="AP5" s="1540"/>
      <c r="AQ5" s="1540"/>
      <c r="AR5" s="264"/>
      <c r="AS5" s="725"/>
      <c r="AT5" s="1108"/>
    </row>
    <row r="6" spans="1:46" ht="18" customHeight="1" x14ac:dyDescent="0.25">
      <c r="A6" s="1100"/>
      <c r="B6" s="951"/>
      <c r="C6" s="1540"/>
      <c r="D6" s="1540"/>
      <c r="E6" s="1540"/>
      <c r="F6" s="1540"/>
      <c r="G6" s="1540"/>
      <c r="H6" s="1540"/>
      <c r="I6" s="1540"/>
      <c r="J6" s="1540"/>
      <c r="K6" s="1540"/>
      <c r="L6" s="1540"/>
      <c r="M6" s="1540"/>
      <c r="N6" s="1540"/>
      <c r="O6" s="1540"/>
      <c r="P6" s="1540"/>
      <c r="Q6" s="1540"/>
      <c r="R6" s="1540"/>
      <c r="S6" s="1540"/>
      <c r="T6" s="1540"/>
      <c r="U6" s="1540"/>
      <c r="V6" s="1540"/>
      <c r="W6" s="1540"/>
      <c r="X6" s="1540"/>
      <c r="Y6" s="1540"/>
      <c r="Z6" s="1540"/>
      <c r="AA6" s="1540"/>
      <c r="AB6" s="1540"/>
      <c r="AC6" s="1540"/>
      <c r="AD6" s="1540"/>
      <c r="AE6" s="1540"/>
      <c r="AF6" s="1540"/>
      <c r="AG6" s="1540"/>
      <c r="AH6" s="1540"/>
      <c r="AI6" s="1540"/>
      <c r="AJ6" s="1540"/>
      <c r="AK6" s="1540"/>
      <c r="AL6" s="1540"/>
      <c r="AM6" s="1540"/>
      <c r="AN6" s="1540"/>
      <c r="AO6" s="1540"/>
      <c r="AP6" s="1540"/>
      <c r="AQ6" s="1540"/>
      <c r="AR6" s="264"/>
      <c r="AS6" s="725"/>
      <c r="AT6" s="1108"/>
    </row>
    <row r="7" spans="1:46" ht="18" customHeight="1" x14ac:dyDescent="0.25">
      <c r="A7" s="1100"/>
      <c r="B7" s="951"/>
      <c r="C7" s="1540"/>
      <c r="D7" s="1540"/>
      <c r="E7" s="1540"/>
      <c r="F7" s="1540"/>
      <c r="G7" s="1540"/>
      <c r="H7" s="1540"/>
      <c r="I7" s="1540"/>
      <c r="J7" s="1540"/>
      <c r="K7" s="1540"/>
      <c r="L7" s="1540"/>
      <c r="M7" s="1540"/>
      <c r="N7" s="1540"/>
      <c r="O7" s="1540"/>
      <c r="P7" s="1540"/>
      <c r="Q7" s="1540"/>
      <c r="R7" s="1540"/>
      <c r="S7" s="1540"/>
      <c r="T7" s="1540"/>
      <c r="U7" s="1540"/>
      <c r="V7" s="1540"/>
      <c r="W7" s="1540"/>
      <c r="X7" s="1540"/>
      <c r="Y7" s="1540"/>
      <c r="Z7" s="1540"/>
      <c r="AA7" s="1540"/>
      <c r="AB7" s="1540"/>
      <c r="AC7" s="1540"/>
      <c r="AD7" s="1540"/>
      <c r="AE7" s="1540"/>
      <c r="AF7" s="1540"/>
      <c r="AG7" s="1540"/>
      <c r="AH7" s="1540"/>
      <c r="AI7" s="1540"/>
      <c r="AJ7" s="1540"/>
      <c r="AK7" s="1540"/>
      <c r="AL7" s="1540"/>
      <c r="AM7" s="1540"/>
      <c r="AN7" s="1540"/>
      <c r="AO7" s="1540"/>
      <c r="AP7" s="1540"/>
      <c r="AQ7" s="1540"/>
      <c r="AR7" s="264"/>
      <c r="AS7" s="725"/>
      <c r="AT7" s="1108"/>
    </row>
    <row r="8" spans="1:46" ht="18" customHeight="1" x14ac:dyDescent="0.25">
      <c r="A8" s="1100"/>
      <c r="B8" s="951"/>
      <c r="C8" s="1540"/>
      <c r="D8" s="1540"/>
      <c r="E8" s="1540"/>
      <c r="F8" s="1540"/>
      <c r="G8" s="1540"/>
      <c r="H8" s="1540"/>
      <c r="I8" s="1540"/>
      <c r="J8" s="1540"/>
      <c r="K8" s="1540"/>
      <c r="L8" s="1540"/>
      <c r="M8" s="1540"/>
      <c r="N8" s="1540"/>
      <c r="O8" s="1540"/>
      <c r="P8" s="1540"/>
      <c r="Q8" s="1540"/>
      <c r="R8" s="1540"/>
      <c r="S8" s="1540"/>
      <c r="T8" s="1540"/>
      <c r="U8" s="1540"/>
      <c r="V8" s="1540"/>
      <c r="W8" s="1540"/>
      <c r="X8" s="1540"/>
      <c r="Y8" s="1540"/>
      <c r="Z8" s="1540"/>
      <c r="AA8" s="1540"/>
      <c r="AB8" s="1540"/>
      <c r="AC8" s="1540"/>
      <c r="AD8" s="1540"/>
      <c r="AE8" s="1540"/>
      <c r="AF8" s="1540"/>
      <c r="AG8" s="1540"/>
      <c r="AH8" s="1540"/>
      <c r="AI8" s="1540"/>
      <c r="AJ8" s="1540"/>
      <c r="AK8" s="1540"/>
      <c r="AL8" s="1540"/>
      <c r="AM8" s="1540"/>
      <c r="AN8" s="1540"/>
      <c r="AO8" s="1540"/>
      <c r="AP8" s="1540"/>
      <c r="AQ8" s="1540"/>
      <c r="AR8" s="264"/>
      <c r="AS8" s="725"/>
      <c r="AT8" s="1108"/>
    </row>
    <row r="9" spans="1:46" ht="3" customHeight="1" x14ac:dyDescent="0.25">
      <c r="A9" s="1100"/>
      <c r="B9" s="951"/>
      <c r="C9" s="1163"/>
      <c r="D9" s="1163"/>
      <c r="E9" s="1163"/>
      <c r="F9" s="1163"/>
      <c r="G9" s="1163"/>
      <c r="H9" s="1163"/>
      <c r="I9" s="1163"/>
      <c r="J9" s="1163"/>
      <c r="K9" s="1163"/>
      <c r="L9" s="1163"/>
      <c r="M9" s="1163"/>
      <c r="N9" s="1163"/>
      <c r="O9" s="1163"/>
      <c r="P9" s="1163"/>
      <c r="Q9" s="1163"/>
      <c r="R9" s="1163"/>
      <c r="S9" s="1163"/>
      <c r="T9" s="1163"/>
      <c r="U9" s="1163"/>
      <c r="V9" s="1163"/>
      <c r="W9" s="1163"/>
      <c r="X9" s="1163"/>
      <c r="Y9" s="1163"/>
      <c r="Z9" s="1163"/>
      <c r="AA9" s="1163"/>
      <c r="AB9" s="1163"/>
      <c r="AC9" s="1163"/>
      <c r="AD9" s="1163"/>
      <c r="AE9" s="1163"/>
      <c r="AF9" s="1163"/>
      <c r="AG9" s="1163"/>
      <c r="AH9" s="1163"/>
      <c r="AI9" s="1163"/>
      <c r="AJ9" s="1163"/>
      <c r="AK9" s="1163"/>
      <c r="AL9" s="1163"/>
      <c r="AM9" s="1163"/>
      <c r="AN9" s="1163"/>
      <c r="AO9" s="1163"/>
      <c r="AP9" s="1163"/>
      <c r="AQ9" s="1163"/>
      <c r="AR9" s="264"/>
      <c r="AS9" s="725"/>
      <c r="AT9" s="1108"/>
    </row>
    <row r="10" spans="1:46" ht="18" customHeight="1" x14ac:dyDescent="0.25">
      <c r="A10" s="1100"/>
      <c r="B10" s="951"/>
      <c r="C10" s="1540" t="s">
        <v>1146</v>
      </c>
      <c r="D10" s="1540"/>
      <c r="E10" s="1540"/>
      <c r="F10" s="1540"/>
      <c r="G10" s="1540"/>
      <c r="H10" s="1540"/>
      <c r="I10" s="1540"/>
      <c r="J10" s="1540"/>
      <c r="K10" s="1540"/>
      <c r="L10" s="1540"/>
      <c r="M10" s="1540"/>
      <c r="N10" s="1540"/>
      <c r="O10" s="1540"/>
      <c r="P10" s="1540"/>
      <c r="Q10" s="1540"/>
      <c r="R10" s="1540"/>
      <c r="S10" s="1540"/>
      <c r="T10" s="1540"/>
      <c r="U10" s="1540"/>
      <c r="V10" s="1540"/>
      <c r="W10" s="1540"/>
      <c r="X10" s="1540"/>
      <c r="Y10" s="1540"/>
      <c r="Z10" s="1540"/>
      <c r="AA10" s="1540"/>
      <c r="AB10" s="1540"/>
      <c r="AC10" s="1540"/>
      <c r="AD10" s="1540"/>
      <c r="AE10" s="1540"/>
      <c r="AF10" s="1540"/>
      <c r="AG10" s="1540"/>
      <c r="AH10" s="1540"/>
      <c r="AI10" s="1540"/>
      <c r="AJ10" s="1540"/>
      <c r="AK10" s="1540"/>
      <c r="AL10" s="1540"/>
      <c r="AM10" s="1540"/>
      <c r="AN10" s="1540"/>
      <c r="AO10" s="1540"/>
      <c r="AP10" s="1540"/>
      <c r="AQ10" s="1540"/>
      <c r="AR10" s="1162"/>
      <c r="AS10" s="725"/>
      <c r="AT10" s="1108"/>
    </row>
    <row r="11" spans="1:46" ht="18" customHeight="1" x14ac:dyDescent="0.25">
      <c r="A11" s="1100"/>
      <c r="B11" s="951"/>
      <c r="C11" s="1540"/>
      <c r="D11" s="1540"/>
      <c r="E11" s="1540"/>
      <c r="F11" s="1540"/>
      <c r="G11" s="1540"/>
      <c r="H11" s="1540"/>
      <c r="I11" s="1540"/>
      <c r="J11" s="1540"/>
      <c r="K11" s="1540"/>
      <c r="L11" s="1540"/>
      <c r="M11" s="1540"/>
      <c r="N11" s="1540"/>
      <c r="O11" s="1540"/>
      <c r="P11" s="1540"/>
      <c r="Q11" s="1540"/>
      <c r="R11" s="1540"/>
      <c r="S11" s="1540"/>
      <c r="T11" s="1540"/>
      <c r="U11" s="1540"/>
      <c r="V11" s="1540"/>
      <c r="W11" s="1540"/>
      <c r="X11" s="1540"/>
      <c r="Y11" s="1540"/>
      <c r="Z11" s="1540"/>
      <c r="AA11" s="1540"/>
      <c r="AB11" s="1540"/>
      <c r="AC11" s="1540"/>
      <c r="AD11" s="1540"/>
      <c r="AE11" s="1540"/>
      <c r="AF11" s="1540"/>
      <c r="AG11" s="1540"/>
      <c r="AH11" s="1540"/>
      <c r="AI11" s="1540"/>
      <c r="AJ11" s="1540"/>
      <c r="AK11" s="1540"/>
      <c r="AL11" s="1540"/>
      <c r="AM11" s="1540"/>
      <c r="AN11" s="1540"/>
      <c r="AO11" s="1540"/>
      <c r="AP11" s="1540"/>
      <c r="AQ11" s="1540"/>
      <c r="AR11" s="1162"/>
      <c r="AS11" s="725"/>
      <c r="AT11" s="1108"/>
    </row>
    <row r="12" spans="1:46" ht="6" customHeight="1" x14ac:dyDescent="0.25">
      <c r="A12" s="1100"/>
      <c r="B12" s="951"/>
      <c r="C12" s="1161"/>
      <c r="D12" s="1161"/>
      <c r="E12" s="1161"/>
      <c r="F12" s="1161"/>
      <c r="G12" s="1161"/>
      <c r="H12" s="1161"/>
      <c r="I12" s="1161"/>
      <c r="J12" s="1161"/>
      <c r="K12" s="1161"/>
      <c r="L12" s="1161"/>
      <c r="M12" s="1161"/>
      <c r="N12" s="1161"/>
      <c r="O12" s="1161"/>
      <c r="P12" s="1161"/>
      <c r="Q12" s="1161"/>
      <c r="R12" s="1161"/>
      <c r="S12" s="1161"/>
      <c r="T12" s="1161"/>
      <c r="U12" s="1161"/>
      <c r="V12" s="1161"/>
      <c r="W12" s="1161"/>
      <c r="X12" s="1161"/>
      <c r="Y12" s="1161"/>
      <c r="Z12" s="1161"/>
      <c r="AA12" s="1161"/>
      <c r="AB12" s="1161"/>
      <c r="AC12" s="1161"/>
      <c r="AD12" s="1161"/>
      <c r="AE12" s="1161"/>
      <c r="AF12" s="1161"/>
      <c r="AG12" s="1161"/>
      <c r="AH12" s="1161"/>
      <c r="AI12" s="1161"/>
      <c r="AJ12" s="1161"/>
      <c r="AK12" s="1161"/>
      <c r="AL12" s="1161"/>
      <c r="AM12" s="1161"/>
      <c r="AN12" s="1161"/>
      <c r="AO12" s="1161"/>
      <c r="AP12" s="1161"/>
      <c r="AQ12" s="1161"/>
      <c r="AR12" s="1161"/>
      <c r="AS12" s="725"/>
      <c r="AT12" s="1108"/>
    </row>
    <row r="13" spans="1:46" ht="18" customHeight="1" x14ac:dyDescent="0.25">
      <c r="A13" s="1100"/>
      <c r="B13" s="951"/>
      <c r="C13" s="1156">
        <v>1</v>
      </c>
      <c r="D13" s="1542" t="s">
        <v>1155</v>
      </c>
      <c r="E13" s="1542"/>
      <c r="F13" s="1542"/>
      <c r="G13" s="1542"/>
      <c r="H13" s="1542"/>
      <c r="I13" s="1542"/>
      <c r="J13" s="1542"/>
      <c r="K13" s="1542"/>
      <c r="L13" s="1542"/>
      <c r="M13" s="1542"/>
      <c r="N13" s="1542"/>
      <c r="O13" s="1542"/>
      <c r="P13" s="1542"/>
      <c r="Q13" s="1542"/>
      <c r="R13" s="1542"/>
      <c r="S13" s="1542"/>
      <c r="T13" s="1542"/>
      <c r="U13" s="1542"/>
      <c r="V13" s="1542"/>
      <c r="W13" s="1542"/>
      <c r="X13" s="1542"/>
      <c r="Y13" s="1542"/>
      <c r="Z13" s="1542"/>
      <c r="AA13" s="1542"/>
      <c r="AB13" s="1542"/>
      <c r="AC13" s="1542"/>
      <c r="AD13" s="1542"/>
      <c r="AE13" s="1542"/>
      <c r="AF13" s="1542"/>
      <c r="AG13" s="1542"/>
      <c r="AH13" s="1542"/>
      <c r="AI13" s="1542"/>
      <c r="AJ13" s="1542"/>
      <c r="AK13" s="1542"/>
      <c r="AL13" s="1542"/>
      <c r="AM13" s="1542"/>
      <c r="AN13" s="1542"/>
      <c r="AO13" s="1542"/>
      <c r="AP13" s="1542"/>
      <c r="AQ13" s="264"/>
      <c r="AR13" s="1160" t="s">
        <v>1144</v>
      </c>
      <c r="AS13" s="725"/>
      <c r="AT13" s="1108"/>
    </row>
    <row r="14" spans="1:46" ht="18" customHeight="1" x14ac:dyDescent="0.25">
      <c r="A14" s="1100"/>
      <c r="B14" s="951"/>
      <c r="C14" s="1156"/>
      <c r="D14" s="1542"/>
      <c r="E14" s="1542"/>
      <c r="F14" s="1542"/>
      <c r="G14" s="1542"/>
      <c r="H14" s="1542"/>
      <c r="I14" s="1542"/>
      <c r="J14" s="1542"/>
      <c r="K14" s="1542"/>
      <c r="L14" s="1542"/>
      <c r="M14" s="1542"/>
      <c r="N14" s="1542"/>
      <c r="O14" s="1542"/>
      <c r="P14" s="1542"/>
      <c r="Q14" s="1542"/>
      <c r="R14" s="1542"/>
      <c r="S14" s="1542"/>
      <c r="T14" s="1542"/>
      <c r="U14" s="1542"/>
      <c r="V14" s="1542"/>
      <c r="W14" s="1542"/>
      <c r="X14" s="1542"/>
      <c r="Y14" s="1542"/>
      <c r="Z14" s="1542"/>
      <c r="AA14" s="1542"/>
      <c r="AB14" s="1542"/>
      <c r="AC14" s="1542"/>
      <c r="AD14" s="1542"/>
      <c r="AE14" s="1542"/>
      <c r="AF14" s="1542"/>
      <c r="AG14" s="1542"/>
      <c r="AH14" s="1542"/>
      <c r="AI14" s="1542"/>
      <c r="AJ14" s="1542"/>
      <c r="AK14" s="1542"/>
      <c r="AL14" s="1542"/>
      <c r="AM14" s="1542"/>
      <c r="AN14" s="1542"/>
      <c r="AO14" s="1542"/>
      <c r="AP14" s="1542"/>
      <c r="AQ14" s="264"/>
      <c r="AR14" s="1157" t="s">
        <v>1145</v>
      </c>
      <c r="AS14" s="725"/>
      <c r="AT14" s="1108"/>
    </row>
    <row r="15" spans="1:46" ht="18" customHeight="1" x14ac:dyDescent="0.25">
      <c r="A15" s="1100"/>
      <c r="B15" s="951"/>
      <c r="C15" s="1156"/>
      <c r="D15" s="1542"/>
      <c r="E15" s="1542"/>
      <c r="F15" s="1542"/>
      <c r="G15" s="1542"/>
      <c r="H15" s="1542"/>
      <c r="I15" s="1542"/>
      <c r="J15" s="1542"/>
      <c r="K15" s="1542"/>
      <c r="L15" s="1542"/>
      <c r="M15" s="1542"/>
      <c r="N15" s="1542"/>
      <c r="O15" s="1542"/>
      <c r="P15" s="1542"/>
      <c r="Q15" s="1542"/>
      <c r="R15" s="1542"/>
      <c r="S15" s="1542"/>
      <c r="T15" s="1542"/>
      <c r="U15" s="1542"/>
      <c r="V15" s="1542"/>
      <c r="W15" s="1542"/>
      <c r="X15" s="1542"/>
      <c r="Y15" s="1542"/>
      <c r="Z15" s="1542"/>
      <c r="AA15" s="1542"/>
      <c r="AB15" s="1542"/>
      <c r="AC15" s="1542"/>
      <c r="AD15" s="1542"/>
      <c r="AE15" s="1542"/>
      <c r="AF15" s="1542"/>
      <c r="AG15" s="1542"/>
      <c r="AH15" s="1542"/>
      <c r="AI15" s="1542"/>
      <c r="AJ15" s="1542"/>
      <c r="AK15" s="1542"/>
      <c r="AL15" s="1542"/>
      <c r="AM15" s="1542"/>
      <c r="AN15" s="1542"/>
      <c r="AO15" s="1542"/>
      <c r="AP15" s="1542"/>
      <c r="AQ15" s="264"/>
      <c r="AR15" s="1157"/>
      <c r="AS15" s="725"/>
      <c r="AT15" s="1108"/>
    </row>
    <row r="16" spans="1:46" ht="18" customHeight="1" x14ac:dyDescent="0.25">
      <c r="A16" s="1100"/>
      <c r="B16" s="951"/>
      <c r="C16" s="1156"/>
      <c r="D16" s="1542"/>
      <c r="E16" s="1542"/>
      <c r="F16" s="1542"/>
      <c r="G16" s="1542"/>
      <c r="H16" s="1542"/>
      <c r="I16" s="1542"/>
      <c r="J16" s="1542"/>
      <c r="K16" s="1542"/>
      <c r="L16" s="1542"/>
      <c r="M16" s="1542"/>
      <c r="N16" s="1542"/>
      <c r="O16" s="1542"/>
      <c r="P16" s="1542"/>
      <c r="Q16" s="1542"/>
      <c r="R16" s="1542"/>
      <c r="S16" s="1542"/>
      <c r="T16" s="1542"/>
      <c r="U16" s="1542"/>
      <c r="V16" s="1542"/>
      <c r="W16" s="1542"/>
      <c r="X16" s="1542"/>
      <c r="Y16" s="1542"/>
      <c r="Z16" s="1542"/>
      <c r="AA16" s="1542"/>
      <c r="AB16" s="1542"/>
      <c r="AC16" s="1542"/>
      <c r="AD16" s="1542"/>
      <c r="AE16" s="1542"/>
      <c r="AF16" s="1542"/>
      <c r="AG16" s="1542"/>
      <c r="AH16" s="1542"/>
      <c r="AI16" s="1542"/>
      <c r="AJ16" s="1542"/>
      <c r="AK16" s="1542"/>
      <c r="AL16" s="1542"/>
      <c r="AM16" s="1542"/>
      <c r="AN16" s="1542"/>
      <c r="AO16" s="1542"/>
      <c r="AP16" s="1542"/>
      <c r="AQ16" s="264"/>
      <c r="AR16" s="264"/>
      <c r="AS16" s="725"/>
      <c r="AT16" s="1108"/>
    </row>
    <row r="17" spans="1:63" ht="18" customHeight="1" x14ac:dyDescent="0.25">
      <c r="A17" s="1100"/>
      <c r="B17" s="951"/>
      <c r="C17" s="1156">
        <v>2</v>
      </c>
      <c r="D17" s="1542" t="s">
        <v>1297</v>
      </c>
      <c r="E17" s="1542"/>
      <c r="F17" s="1542"/>
      <c r="G17" s="1542"/>
      <c r="H17" s="1542"/>
      <c r="I17" s="1542"/>
      <c r="J17" s="1542"/>
      <c r="K17" s="1542"/>
      <c r="L17" s="1542"/>
      <c r="M17" s="1542"/>
      <c r="N17" s="1542"/>
      <c r="O17" s="1542"/>
      <c r="P17" s="1542"/>
      <c r="Q17" s="1542"/>
      <c r="R17" s="1542"/>
      <c r="S17" s="1542"/>
      <c r="T17" s="1542"/>
      <c r="U17" s="1542"/>
      <c r="V17" s="1542"/>
      <c r="W17" s="1542"/>
      <c r="X17" s="1542"/>
      <c r="Y17" s="1542"/>
      <c r="Z17" s="1542"/>
      <c r="AA17" s="1542"/>
      <c r="AB17" s="1542"/>
      <c r="AC17" s="1542"/>
      <c r="AD17" s="1542"/>
      <c r="AE17" s="1542"/>
      <c r="AF17" s="1542"/>
      <c r="AG17" s="1542"/>
      <c r="AH17" s="1542"/>
      <c r="AI17" s="1542"/>
      <c r="AJ17" s="1542"/>
      <c r="AK17" s="1542"/>
      <c r="AL17" s="1542"/>
      <c r="AM17" s="1542"/>
      <c r="AN17" s="1542"/>
      <c r="AO17" s="1542"/>
      <c r="AP17" s="1542"/>
      <c r="AQ17" s="1158"/>
      <c r="AR17" s="264"/>
      <c r="AS17" s="725"/>
      <c r="AT17" s="1108"/>
    </row>
    <row r="18" spans="1:63" ht="18" customHeight="1" x14ac:dyDescent="0.25">
      <c r="A18" s="1100"/>
      <c r="B18" s="951"/>
      <c r="C18" s="1156"/>
      <c r="D18" s="1542"/>
      <c r="E18" s="1542"/>
      <c r="F18" s="1542"/>
      <c r="G18" s="1542"/>
      <c r="H18" s="1542"/>
      <c r="I18" s="1542"/>
      <c r="J18" s="1542"/>
      <c r="K18" s="1542"/>
      <c r="L18" s="1542"/>
      <c r="M18" s="1542"/>
      <c r="N18" s="1542"/>
      <c r="O18" s="1542"/>
      <c r="P18" s="1542"/>
      <c r="Q18" s="1542"/>
      <c r="R18" s="1542"/>
      <c r="S18" s="1542"/>
      <c r="T18" s="1542"/>
      <c r="U18" s="1542"/>
      <c r="V18" s="1542"/>
      <c r="W18" s="1542"/>
      <c r="X18" s="1542"/>
      <c r="Y18" s="1542"/>
      <c r="Z18" s="1542"/>
      <c r="AA18" s="1542"/>
      <c r="AB18" s="1542"/>
      <c r="AC18" s="1542"/>
      <c r="AD18" s="1542"/>
      <c r="AE18" s="1542"/>
      <c r="AF18" s="1542"/>
      <c r="AG18" s="1542"/>
      <c r="AH18" s="1542"/>
      <c r="AI18" s="1542"/>
      <c r="AJ18" s="1542"/>
      <c r="AK18" s="1542"/>
      <c r="AL18" s="1542"/>
      <c r="AM18" s="1542"/>
      <c r="AN18" s="1542"/>
      <c r="AO18" s="1542"/>
      <c r="AP18" s="1542"/>
      <c r="AQ18" s="1192"/>
      <c r="AR18" s="264"/>
      <c r="AS18" s="725"/>
      <c r="AT18" s="1108"/>
    </row>
    <row r="19" spans="1:63" ht="18" customHeight="1" x14ac:dyDescent="0.25">
      <c r="A19" s="1100"/>
      <c r="B19" s="951"/>
      <c r="C19" s="1159"/>
      <c r="D19" s="1542"/>
      <c r="E19" s="1542"/>
      <c r="F19" s="1542"/>
      <c r="G19" s="1542"/>
      <c r="H19" s="1542"/>
      <c r="I19" s="1542"/>
      <c r="J19" s="1542"/>
      <c r="K19" s="1542"/>
      <c r="L19" s="1542"/>
      <c r="M19" s="1542"/>
      <c r="N19" s="1542"/>
      <c r="O19" s="1542"/>
      <c r="P19" s="1542"/>
      <c r="Q19" s="1542"/>
      <c r="R19" s="1542"/>
      <c r="S19" s="1542"/>
      <c r="T19" s="1542"/>
      <c r="U19" s="1542"/>
      <c r="V19" s="1542"/>
      <c r="W19" s="1542"/>
      <c r="X19" s="1542"/>
      <c r="Y19" s="1542"/>
      <c r="Z19" s="1542"/>
      <c r="AA19" s="1542"/>
      <c r="AB19" s="1542"/>
      <c r="AC19" s="1542"/>
      <c r="AD19" s="1542"/>
      <c r="AE19" s="1542"/>
      <c r="AF19" s="1542"/>
      <c r="AG19" s="1542"/>
      <c r="AH19" s="1542"/>
      <c r="AI19" s="1542"/>
      <c r="AJ19" s="1542"/>
      <c r="AK19" s="1542"/>
      <c r="AL19" s="1542"/>
      <c r="AM19" s="1542"/>
      <c r="AN19" s="1542"/>
      <c r="AO19" s="1542"/>
      <c r="AP19" s="1542"/>
      <c r="AQ19" s="1158"/>
      <c r="AR19" s="264"/>
      <c r="AS19" s="725"/>
      <c r="AT19" s="1108"/>
    </row>
    <row r="20" spans="1:63" ht="18" customHeight="1" x14ac:dyDescent="0.25">
      <c r="A20" s="1100"/>
      <c r="B20" s="951"/>
      <c r="C20" s="1159"/>
      <c r="D20" s="1542"/>
      <c r="E20" s="1542"/>
      <c r="F20" s="1542"/>
      <c r="G20" s="1542"/>
      <c r="H20" s="1542"/>
      <c r="I20" s="1542"/>
      <c r="J20" s="1542"/>
      <c r="K20" s="1542"/>
      <c r="L20" s="1542"/>
      <c r="M20" s="1542"/>
      <c r="N20" s="1542"/>
      <c r="O20" s="1542"/>
      <c r="P20" s="1542"/>
      <c r="Q20" s="1542"/>
      <c r="R20" s="1542"/>
      <c r="S20" s="1542"/>
      <c r="T20" s="1542"/>
      <c r="U20" s="1542"/>
      <c r="V20" s="1542"/>
      <c r="W20" s="1542"/>
      <c r="X20" s="1542"/>
      <c r="Y20" s="1542"/>
      <c r="Z20" s="1542"/>
      <c r="AA20" s="1542"/>
      <c r="AB20" s="1542"/>
      <c r="AC20" s="1542"/>
      <c r="AD20" s="1542"/>
      <c r="AE20" s="1542"/>
      <c r="AF20" s="1542"/>
      <c r="AG20" s="1542"/>
      <c r="AH20" s="1542"/>
      <c r="AI20" s="1542"/>
      <c r="AJ20" s="1542"/>
      <c r="AK20" s="1542"/>
      <c r="AL20" s="1542"/>
      <c r="AM20" s="1542"/>
      <c r="AN20" s="1542"/>
      <c r="AO20" s="1542"/>
      <c r="AP20" s="1542"/>
      <c r="AQ20" s="1158"/>
      <c r="AR20" s="264"/>
      <c r="AS20" s="725"/>
      <c r="AT20" s="1108"/>
    </row>
    <row r="21" spans="1:63" ht="18" customHeight="1" x14ac:dyDescent="0.25">
      <c r="A21" s="1100"/>
      <c r="B21" s="725"/>
      <c r="C21" s="1143"/>
      <c r="D21" s="1143"/>
      <c r="E21" s="1143"/>
      <c r="F21" s="1143"/>
      <c r="G21" s="1143"/>
      <c r="H21" s="1143"/>
      <c r="I21" s="1143"/>
      <c r="J21" s="1143"/>
      <c r="K21" s="1143"/>
      <c r="L21" s="1143"/>
      <c r="M21" s="1143"/>
      <c r="N21" s="1143"/>
      <c r="O21" s="1143"/>
      <c r="P21" s="1143"/>
      <c r="Q21" s="1143"/>
      <c r="R21" s="1143"/>
      <c r="S21" s="1143"/>
      <c r="T21" s="1143"/>
      <c r="U21" s="1143"/>
      <c r="V21" s="1143"/>
      <c r="W21" s="1143"/>
      <c r="X21" s="1143"/>
      <c r="Y21" s="1143"/>
      <c r="Z21" s="1143"/>
      <c r="AA21" s="1143"/>
      <c r="AB21" s="1143"/>
      <c r="AC21" s="1143"/>
      <c r="AD21" s="1143"/>
      <c r="AE21" s="1143"/>
      <c r="AF21" s="1143"/>
      <c r="AG21" s="1143"/>
      <c r="AH21" s="1143"/>
      <c r="AI21" s="1143"/>
      <c r="AJ21" s="1143"/>
      <c r="AK21" s="1143"/>
      <c r="AL21" s="1143"/>
      <c r="AM21" s="1143"/>
      <c r="AN21" s="1143"/>
      <c r="AO21" s="1143"/>
      <c r="AP21" s="1143"/>
      <c r="AQ21" s="1143"/>
      <c r="AR21" s="1143"/>
      <c r="AS21" s="725"/>
      <c r="AT21" s="1108"/>
    </row>
    <row r="22" spans="1:63" ht="10.15" customHeight="1" x14ac:dyDescent="0.25">
      <c r="A22" s="1101"/>
      <c r="B22" s="1102"/>
      <c r="C22" s="1102"/>
      <c r="D22" s="1102"/>
      <c r="E22" s="593"/>
      <c r="F22" s="593"/>
      <c r="G22" s="1103"/>
      <c r="H22" s="593"/>
      <c r="I22" s="593"/>
      <c r="J22" s="593"/>
      <c r="K22" s="593"/>
      <c r="L22" s="1102"/>
      <c r="M22" s="1102"/>
      <c r="N22" s="1104"/>
      <c r="O22" s="593"/>
      <c r="P22" s="593"/>
      <c r="Q22" s="593"/>
      <c r="R22" s="1104"/>
      <c r="S22" s="1104"/>
      <c r="T22" s="1104"/>
      <c r="U22" s="1105"/>
      <c r="V22" s="1106"/>
      <c r="W22" s="1107"/>
      <c r="X22" s="1102"/>
      <c r="Y22" s="1102"/>
      <c r="Z22" s="1102"/>
      <c r="AA22" s="593"/>
      <c r="AB22" s="593"/>
      <c r="AC22" s="1103"/>
      <c r="AD22" s="593"/>
      <c r="AE22" s="593"/>
      <c r="AF22" s="593"/>
      <c r="AG22" s="593"/>
      <c r="AH22" s="1102"/>
      <c r="AI22" s="1102"/>
      <c r="AJ22" s="1104"/>
      <c r="AK22" s="593"/>
      <c r="AL22" s="593"/>
      <c r="AM22" s="593"/>
      <c r="AN22" s="1104"/>
      <c r="AO22" s="1104"/>
      <c r="AP22" s="1104"/>
      <c r="AQ22" s="1105"/>
      <c r="AR22" s="1106"/>
      <c r="AS22" s="1106"/>
      <c r="AT22" s="1108"/>
    </row>
    <row r="23" spans="1:63" ht="15.6" customHeight="1" x14ac:dyDescent="0.25">
      <c r="A23" s="1145"/>
      <c r="B23" s="1304"/>
      <c r="C23" s="1307" t="s">
        <v>1133</v>
      </c>
      <c r="D23" s="1308"/>
      <c r="E23" s="1309"/>
      <c r="F23" s="1310"/>
      <c r="G23" s="1310"/>
      <c r="H23" s="1310"/>
      <c r="I23" s="1310"/>
      <c r="J23" s="1310"/>
      <c r="K23" s="1310"/>
      <c r="L23" s="1311"/>
      <c r="M23" s="1311"/>
      <c r="N23" s="1312"/>
      <c r="O23" s="1312"/>
      <c r="P23" s="1313"/>
      <c r="Q23" s="1308"/>
      <c r="R23" s="1310"/>
      <c r="S23" s="1310"/>
      <c r="T23" s="1314"/>
      <c r="U23" s="1315"/>
      <c r="V23" s="1308"/>
      <c r="W23" s="1316"/>
      <c r="X23" s="1304"/>
      <c r="Y23" s="1307" t="s">
        <v>1298</v>
      </c>
      <c r="Z23" s="1308"/>
      <c r="AA23" s="1309"/>
      <c r="AB23" s="1310"/>
      <c r="AC23" s="1310"/>
      <c r="AD23" s="1310"/>
      <c r="AE23" s="1310"/>
      <c r="AF23" s="1310"/>
      <c r="AG23" s="1310"/>
      <c r="AH23" s="1311"/>
      <c r="AI23" s="1311"/>
      <c r="AJ23" s="1312"/>
      <c r="AK23" s="1312"/>
      <c r="AL23" s="1313"/>
      <c r="AM23" s="1308"/>
      <c r="AN23" s="1310"/>
      <c r="AO23" s="1310"/>
      <c r="AP23" s="1314"/>
      <c r="AQ23" s="1315"/>
      <c r="AR23" s="1308"/>
      <c r="AS23" s="1316"/>
      <c r="AT23" s="1145"/>
    </row>
    <row r="24" spans="1:63" ht="15.6" customHeight="1" x14ac:dyDescent="0.25">
      <c r="A24" s="1146"/>
      <c r="B24" s="1530"/>
      <c r="C24" s="306" t="s">
        <v>798</v>
      </c>
      <c r="D24" s="696"/>
      <c r="E24" s="696"/>
      <c r="F24" s="307"/>
      <c r="G24" s="308"/>
      <c r="H24" s="309"/>
      <c r="I24" s="880"/>
      <c r="J24" s="881" t="s">
        <v>799</v>
      </c>
      <c r="K24" s="882"/>
      <c r="L24" s="882"/>
      <c r="M24" s="883"/>
      <c r="N24" s="884"/>
      <c r="O24" s="885"/>
      <c r="P24" s="880"/>
      <c r="Q24" s="302" t="s">
        <v>800</v>
      </c>
      <c r="R24" s="695"/>
      <c r="S24" s="695"/>
      <c r="T24" s="303"/>
      <c r="U24" s="304"/>
      <c r="V24" s="305"/>
      <c r="W24" s="886"/>
      <c r="X24" s="1530"/>
      <c r="Y24" s="306" t="s">
        <v>798</v>
      </c>
      <c r="Z24" s="696"/>
      <c r="AA24" s="696"/>
      <c r="AB24" s="307"/>
      <c r="AC24" s="308"/>
      <c r="AD24" s="309"/>
      <c r="AE24" s="880"/>
      <c r="AF24" s="881" t="s">
        <v>799</v>
      </c>
      <c r="AG24" s="882"/>
      <c r="AH24" s="882"/>
      <c r="AI24" s="883"/>
      <c r="AJ24" s="884"/>
      <c r="AK24" s="885"/>
      <c r="AL24" s="880"/>
      <c r="AM24" s="302" t="s">
        <v>800</v>
      </c>
      <c r="AN24" s="695"/>
      <c r="AO24" s="695"/>
      <c r="AP24" s="303"/>
      <c r="AQ24" s="304"/>
      <c r="AR24" s="305"/>
      <c r="AS24" s="886"/>
      <c r="AT24" s="1146"/>
    </row>
    <row r="25" spans="1:63" ht="15.6" customHeight="1" x14ac:dyDescent="0.25">
      <c r="A25" s="1146"/>
      <c r="B25" s="1531"/>
      <c r="C25" s="1533" t="s">
        <v>808</v>
      </c>
      <c r="D25" s="1515"/>
      <c r="E25" s="1516"/>
      <c r="F25" s="315" t="s">
        <v>809</v>
      </c>
      <c r="G25" s="315" t="s">
        <v>810</v>
      </c>
      <c r="H25" s="315" t="s">
        <v>811</v>
      </c>
      <c r="I25" s="276"/>
      <c r="J25" s="1517" t="s">
        <v>808</v>
      </c>
      <c r="K25" s="1518"/>
      <c r="L25" s="1519"/>
      <c r="M25" s="1186" t="s">
        <v>809</v>
      </c>
      <c r="N25" s="1186" t="s">
        <v>810</v>
      </c>
      <c r="O25" s="1186" t="s">
        <v>811</v>
      </c>
      <c r="P25" s="260"/>
      <c r="Q25" s="1517" t="s">
        <v>808</v>
      </c>
      <c r="R25" s="1518"/>
      <c r="S25" s="1519"/>
      <c r="T25" s="1186" t="s">
        <v>809</v>
      </c>
      <c r="U25" s="1186" t="s">
        <v>810</v>
      </c>
      <c r="V25" s="1186" t="s">
        <v>811</v>
      </c>
      <c r="W25" s="348"/>
      <c r="X25" s="1531"/>
      <c r="Y25" s="1533" t="s">
        <v>808</v>
      </c>
      <c r="Z25" s="1515"/>
      <c r="AA25" s="1516"/>
      <c r="AB25" s="315" t="s">
        <v>809</v>
      </c>
      <c r="AC25" s="315" t="s">
        <v>810</v>
      </c>
      <c r="AD25" s="315" t="s">
        <v>811</v>
      </c>
      <c r="AE25" s="276"/>
      <c r="AF25" s="1517" t="s">
        <v>808</v>
      </c>
      <c r="AG25" s="1518"/>
      <c r="AH25" s="1519"/>
      <c r="AI25" s="1186" t="s">
        <v>809</v>
      </c>
      <c r="AJ25" s="1186" t="s">
        <v>810</v>
      </c>
      <c r="AK25" s="1186" t="s">
        <v>811</v>
      </c>
      <c r="AL25" s="260"/>
      <c r="AM25" s="1517" t="s">
        <v>808</v>
      </c>
      <c r="AN25" s="1518"/>
      <c r="AO25" s="1519"/>
      <c r="AP25" s="1186" t="s">
        <v>809</v>
      </c>
      <c r="AQ25" s="1186" t="s">
        <v>810</v>
      </c>
      <c r="AR25" s="1186" t="s">
        <v>811</v>
      </c>
      <c r="AS25" s="348"/>
      <c r="AT25" s="1146"/>
    </row>
    <row r="26" spans="1:63" ht="15.6" customHeight="1" x14ac:dyDescent="0.25">
      <c r="A26" s="1146"/>
      <c r="B26" s="1531"/>
      <c r="C26" s="1504" t="s">
        <v>866</v>
      </c>
      <c r="D26" s="1505"/>
      <c r="E26" s="1506"/>
      <c r="F26" s="817">
        <v>30</v>
      </c>
      <c r="G26" s="862">
        <v>54</v>
      </c>
      <c r="H26" s="1184" t="s">
        <v>760</v>
      </c>
      <c r="I26" s="276"/>
      <c r="J26" s="1504" t="s">
        <v>867</v>
      </c>
      <c r="K26" s="1505"/>
      <c r="L26" s="1506"/>
      <c r="M26" s="817">
        <v>15</v>
      </c>
      <c r="N26" s="862">
        <v>43</v>
      </c>
      <c r="O26" s="554" t="s">
        <v>756</v>
      </c>
      <c r="P26" s="276"/>
      <c r="Q26" s="1504" t="s">
        <v>868</v>
      </c>
      <c r="R26" s="1505"/>
      <c r="S26" s="1506"/>
      <c r="T26" s="817">
        <v>30</v>
      </c>
      <c r="U26" s="862">
        <v>66</v>
      </c>
      <c r="V26" s="1184" t="s">
        <v>765</v>
      </c>
      <c r="W26" s="348"/>
      <c r="X26" s="1531"/>
      <c r="Y26" s="1504" t="s">
        <v>866</v>
      </c>
      <c r="Z26" s="1505"/>
      <c r="AA26" s="1506"/>
      <c r="AB26" s="817">
        <v>30</v>
      </c>
      <c r="AC26" s="862">
        <v>55</v>
      </c>
      <c r="AD26" s="1184" t="s">
        <v>761</v>
      </c>
      <c r="AE26" s="276"/>
      <c r="AF26" s="1504" t="s">
        <v>867</v>
      </c>
      <c r="AG26" s="1505"/>
      <c r="AH26" s="1506"/>
      <c r="AI26" s="817">
        <v>15</v>
      </c>
      <c r="AJ26" s="862">
        <v>60</v>
      </c>
      <c r="AK26" s="554" t="s">
        <v>763</v>
      </c>
      <c r="AL26" s="276"/>
      <c r="AM26" s="1504" t="s">
        <v>868</v>
      </c>
      <c r="AN26" s="1505"/>
      <c r="AO26" s="1506"/>
      <c r="AP26" s="817">
        <v>30</v>
      </c>
      <c r="AQ26" s="862">
        <v>63</v>
      </c>
      <c r="AR26" s="1184" t="s">
        <v>764</v>
      </c>
      <c r="AS26" s="348"/>
      <c r="AT26" s="1146"/>
    </row>
    <row r="27" spans="1:63" ht="15.6" customHeight="1" x14ac:dyDescent="0.25">
      <c r="A27" s="1146"/>
      <c r="B27" s="1531"/>
      <c r="C27" s="1534" t="s">
        <v>869</v>
      </c>
      <c r="D27" s="1520"/>
      <c r="E27" s="1521"/>
      <c r="F27" s="817">
        <v>30</v>
      </c>
      <c r="G27" s="862">
        <v>57</v>
      </c>
      <c r="H27" s="1184" t="s">
        <v>761</v>
      </c>
      <c r="I27" s="276"/>
      <c r="J27" s="1504" t="s">
        <v>870</v>
      </c>
      <c r="K27" s="1505"/>
      <c r="L27" s="1506"/>
      <c r="M27" s="817">
        <v>15</v>
      </c>
      <c r="N27" s="862">
        <v>47</v>
      </c>
      <c r="O27" s="554" t="s">
        <v>757</v>
      </c>
      <c r="P27" s="276"/>
      <c r="Q27" s="1504" t="s">
        <v>871</v>
      </c>
      <c r="R27" s="1505"/>
      <c r="S27" s="1506"/>
      <c r="T27" s="817">
        <v>30</v>
      </c>
      <c r="U27" s="862">
        <v>71</v>
      </c>
      <c r="V27" s="1184" t="s">
        <v>767</v>
      </c>
      <c r="W27" s="348"/>
      <c r="X27" s="1531"/>
      <c r="Y27" s="1534" t="s">
        <v>869</v>
      </c>
      <c r="Z27" s="1520"/>
      <c r="AA27" s="1521"/>
      <c r="AB27" s="817">
        <v>30</v>
      </c>
      <c r="AC27" s="862">
        <v>61</v>
      </c>
      <c r="AD27" s="1184" t="s">
        <v>763</v>
      </c>
      <c r="AE27" s="276"/>
      <c r="AF27" s="1504" t="s">
        <v>870</v>
      </c>
      <c r="AG27" s="1505"/>
      <c r="AH27" s="1506"/>
      <c r="AI27" s="817">
        <v>15</v>
      </c>
      <c r="AJ27" s="862">
        <v>61</v>
      </c>
      <c r="AK27" s="554" t="s">
        <v>763</v>
      </c>
      <c r="AL27" s="276"/>
      <c r="AM27" s="1504" t="s">
        <v>871</v>
      </c>
      <c r="AN27" s="1505"/>
      <c r="AO27" s="1506"/>
      <c r="AP27" s="817">
        <v>30</v>
      </c>
      <c r="AQ27" s="862">
        <v>64</v>
      </c>
      <c r="AR27" s="1184" t="s">
        <v>764</v>
      </c>
      <c r="AS27" s="348"/>
      <c r="AT27" s="1146"/>
    </row>
    <row r="28" spans="1:63" ht="15.6" customHeight="1" x14ac:dyDescent="0.25">
      <c r="A28" s="1146"/>
      <c r="B28" s="1531"/>
      <c r="C28" s="1504" t="s">
        <v>872</v>
      </c>
      <c r="D28" s="1505"/>
      <c r="E28" s="1506"/>
      <c r="F28" s="817">
        <v>15</v>
      </c>
      <c r="G28" s="862">
        <v>63</v>
      </c>
      <c r="H28" s="1184" t="s">
        <v>764</v>
      </c>
      <c r="I28" s="276"/>
      <c r="J28" s="1504" t="s">
        <v>873</v>
      </c>
      <c r="K28" s="1505"/>
      <c r="L28" s="1506"/>
      <c r="M28" s="817">
        <v>15</v>
      </c>
      <c r="N28" s="862">
        <v>50</v>
      </c>
      <c r="O28" s="554" t="s">
        <v>759</v>
      </c>
      <c r="P28" s="276"/>
      <c r="Q28" s="1504" t="s">
        <v>874</v>
      </c>
      <c r="R28" s="1505"/>
      <c r="S28" s="1506"/>
      <c r="T28" s="817">
        <v>15</v>
      </c>
      <c r="U28" s="862">
        <v>74</v>
      </c>
      <c r="V28" s="1184" t="s">
        <v>768</v>
      </c>
      <c r="W28" s="348"/>
      <c r="X28" s="1531"/>
      <c r="Y28" s="1504" t="s">
        <v>872</v>
      </c>
      <c r="Z28" s="1505"/>
      <c r="AA28" s="1506"/>
      <c r="AB28" s="817">
        <v>15</v>
      </c>
      <c r="AC28" s="862">
        <v>61</v>
      </c>
      <c r="AD28" s="1184" t="s">
        <v>763</v>
      </c>
      <c r="AE28" s="276"/>
      <c r="AF28" s="1504" t="s">
        <v>873</v>
      </c>
      <c r="AG28" s="1505"/>
      <c r="AH28" s="1506"/>
      <c r="AI28" s="817">
        <v>15</v>
      </c>
      <c r="AJ28" s="862">
        <v>62</v>
      </c>
      <c r="AK28" s="554" t="s">
        <v>763</v>
      </c>
      <c r="AL28" s="276"/>
      <c r="AM28" s="1504" t="s">
        <v>874</v>
      </c>
      <c r="AN28" s="1505"/>
      <c r="AO28" s="1506"/>
      <c r="AP28" s="817">
        <v>15</v>
      </c>
      <c r="AQ28" s="862">
        <v>65</v>
      </c>
      <c r="AR28" s="1184" t="s">
        <v>765</v>
      </c>
      <c r="AS28" s="348"/>
      <c r="AT28" s="1146"/>
    </row>
    <row r="29" spans="1:63" ht="15.6" customHeight="1" x14ac:dyDescent="0.25">
      <c r="A29" s="1147"/>
      <c r="B29" s="1531"/>
      <c r="C29" s="1504" t="s">
        <v>875</v>
      </c>
      <c r="D29" s="1505"/>
      <c r="E29" s="1506"/>
      <c r="F29" s="817">
        <v>15</v>
      </c>
      <c r="G29" s="862">
        <v>65</v>
      </c>
      <c r="H29" s="1184" t="s">
        <v>765</v>
      </c>
      <c r="I29" s="276"/>
      <c r="J29" s="1504" t="s">
        <v>876</v>
      </c>
      <c r="K29" s="1505"/>
      <c r="L29" s="1506"/>
      <c r="M29" s="817">
        <v>15</v>
      </c>
      <c r="N29" s="862">
        <v>56</v>
      </c>
      <c r="O29" s="554" t="s">
        <v>761</v>
      </c>
      <c r="P29" s="276"/>
      <c r="Q29" s="1504" t="s">
        <v>877</v>
      </c>
      <c r="R29" s="1505"/>
      <c r="S29" s="1506"/>
      <c r="T29" s="817">
        <v>15</v>
      </c>
      <c r="U29" s="862">
        <v>75</v>
      </c>
      <c r="V29" s="1184" t="s">
        <v>769</v>
      </c>
      <c r="W29" s="348"/>
      <c r="X29" s="1531"/>
      <c r="Y29" s="1504" t="s">
        <v>875</v>
      </c>
      <c r="Z29" s="1505"/>
      <c r="AA29" s="1506"/>
      <c r="AB29" s="817">
        <v>15</v>
      </c>
      <c r="AC29" s="862">
        <v>63</v>
      </c>
      <c r="AD29" s="1184" t="s">
        <v>764</v>
      </c>
      <c r="AE29" s="276"/>
      <c r="AF29" s="1504" t="s">
        <v>876</v>
      </c>
      <c r="AG29" s="1505"/>
      <c r="AH29" s="1506"/>
      <c r="AI29" s="817">
        <v>15</v>
      </c>
      <c r="AJ29" s="862">
        <v>63</v>
      </c>
      <c r="AK29" s="554" t="s">
        <v>764</v>
      </c>
      <c r="AL29" s="276"/>
      <c r="AM29" s="1504" t="s">
        <v>877</v>
      </c>
      <c r="AN29" s="1505"/>
      <c r="AO29" s="1506"/>
      <c r="AP29" s="817">
        <v>15</v>
      </c>
      <c r="AQ29" s="862">
        <v>67</v>
      </c>
      <c r="AR29" s="1184" t="s">
        <v>765</v>
      </c>
      <c r="AS29" s="348"/>
      <c r="AT29" s="1147"/>
    </row>
    <row r="30" spans="1:63" ht="15.6" customHeight="1" x14ac:dyDescent="0.25">
      <c r="A30" s="1146"/>
      <c r="B30" s="1531"/>
      <c r="C30" s="1504" t="s">
        <v>878</v>
      </c>
      <c r="D30" s="1505"/>
      <c r="E30" s="1506"/>
      <c r="F30" s="817">
        <v>15</v>
      </c>
      <c r="G30" s="862">
        <v>72</v>
      </c>
      <c r="H30" s="1184" t="s">
        <v>767</v>
      </c>
      <c r="I30" s="276"/>
      <c r="J30" s="1504" t="s">
        <v>879</v>
      </c>
      <c r="K30" s="1505"/>
      <c r="L30" s="1506"/>
      <c r="M30" s="817">
        <v>30</v>
      </c>
      <c r="N30" s="818">
        <v>60</v>
      </c>
      <c r="O30" s="554" t="s">
        <v>763</v>
      </c>
      <c r="P30" s="276"/>
      <c r="Q30" s="1504" t="s">
        <v>880</v>
      </c>
      <c r="R30" s="1505"/>
      <c r="S30" s="1506"/>
      <c r="T30" s="817">
        <v>15</v>
      </c>
      <c r="U30" s="862">
        <v>75</v>
      </c>
      <c r="V30" s="1184" t="s">
        <v>769</v>
      </c>
      <c r="W30" s="348"/>
      <c r="X30" s="1531"/>
      <c r="Y30" s="1504" t="s">
        <v>878</v>
      </c>
      <c r="Z30" s="1505"/>
      <c r="AA30" s="1506"/>
      <c r="AB30" s="817">
        <v>15</v>
      </c>
      <c r="AC30" s="862">
        <v>70</v>
      </c>
      <c r="AD30" s="1184" t="s">
        <v>767</v>
      </c>
      <c r="AE30" s="276"/>
      <c r="AF30" s="1504" t="s">
        <v>879</v>
      </c>
      <c r="AG30" s="1505"/>
      <c r="AH30" s="1506"/>
      <c r="AI30" s="817">
        <v>30</v>
      </c>
      <c r="AJ30" s="818">
        <v>65</v>
      </c>
      <c r="AK30" s="554" t="s">
        <v>765</v>
      </c>
      <c r="AL30" s="276"/>
      <c r="AM30" s="1504" t="s">
        <v>880</v>
      </c>
      <c r="AN30" s="1505"/>
      <c r="AO30" s="1506"/>
      <c r="AP30" s="817">
        <v>15</v>
      </c>
      <c r="AQ30" s="862">
        <v>64</v>
      </c>
      <c r="AR30" s="1184" t="s">
        <v>764</v>
      </c>
      <c r="AS30" s="348"/>
      <c r="AT30" s="1146"/>
    </row>
    <row r="31" spans="1:63" ht="15.6" customHeight="1" x14ac:dyDescent="0.25">
      <c r="A31" s="1146"/>
      <c r="B31" s="1531"/>
      <c r="C31" s="1504" t="s">
        <v>881</v>
      </c>
      <c r="D31" s="1505"/>
      <c r="E31" s="1506"/>
      <c r="F31" s="817">
        <v>15</v>
      </c>
      <c r="G31" s="862">
        <v>80</v>
      </c>
      <c r="H31" s="1184" t="s">
        <v>771</v>
      </c>
      <c r="I31" s="276"/>
      <c r="J31" s="1504" t="s">
        <v>882</v>
      </c>
      <c r="K31" s="1505"/>
      <c r="L31" s="1506"/>
      <c r="M31" s="817">
        <v>30</v>
      </c>
      <c r="N31" s="818">
        <v>60</v>
      </c>
      <c r="O31" s="554" t="s">
        <v>763</v>
      </c>
      <c r="P31" s="276"/>
      <c r="Q31" s="1504" t="s">
        <v>883</v>
      </c>
      <c r="R31" s="1505"/>
      <c r="S31" s="1506"/>
      <c r="T31" s="817">
        <v>15</v>
      </c>
      <c r="U31" s="818">
        <v>81</v>
      </c>
      <c r="V31" s="1184" t="s">
        <v>771</v>
      </c>
      <c r="W31" s="348"/>
      <c r="X31" s="1531"/>
      <c r="Y31" s="1504" t="s">
        <v>881</v>
      </c>
      <c r="Z31" s="1505"/>
      <c r="AA31" s="1506"/>
      <c r="AB31" s="817">
        <v>15</v>
      </c>
      <c r="AC31" s="862">
        <v>76</v>
      </c>
      <c r="AD31" s="1184" t="s">
        <v>769</v>
      </c>
      <c r="AE31" s="276"/>
      <c r="AF31" s="1504" t="s">
        <v>882</v>
      </c>
      <c r="AG31" s="1505"/>
      <c r="AH31" s="1506"/>
      <c r="AI31" s="817">
        <v>30</v>
      </c>
      <c r="AJ31" s="818">
        <v>61</v>
      </c>
      <c r="AK31" s="554" t="s">
        <v>763</v>
      </c>
      <c r="AL31" s="276"/>
      <c r="AM31" s="1504" t="s">
        <v>883</v>
      </c>
      <c r="AN31" s="1505"/>
      <c r="AO31" s="1506"/>
      <c r="AP31" s="817">
        <v>15</v>
      </c>
      <c r="AQ31" s="818">
        <v>67</v>
      </c>
      <c r="AR31" s="1184" t="s">
        <v>765</v>
      </c>
      <c r="AS31" s="348"/>
      <c r="AT31" s="1146"/>
      <c r="BK31" s="1362"/>
    </row>
    <row r="32" spans="1:63" ht="15.6" hidden="1" customHeight="1" x14ac:dyDescent="0.25">
      <c r="A32" s="1146"/>
      <c r="B32" s="1531"/>
      <c r="C32" s="1504" t="s">
        <v>636</v>
      </c>
      <c r="D32" s="1505"/>
      <c r="E32" s="1506"/>
      <c r="F32" s="817"/>
      <c r="G32" s="862"/>
      <c r="H32" s="1184" t="s">
        <v>29</v>
      </c>
      <c r="I32" s="276"/>
      <c r="J32" s="1504" t="s">
        <v>636</v>
      </c>
      <c r="K32" s="1505"/>
      <c r="L32" s="1506"/>
      <c r="M32" s="817"/>
      <c r="N32" s="818"/>
      <c r="O32" s="554" t="s">
        <v>29</v>
      </c>
      <c r="P32" s="276"/>
      <c r="Q32" s="1504" t="s">
        <v>636</v>
      </c>
      <c r="R32" s="1505"/>
      <c r="S32" s="1506"/>
      <c r="T32" s="817"/>
      <c r="U32" s="818"/>
      <c r="V32" s="1184" t="s">
        <v>29</v>
      </c>
      <c r="W32" s="167"/>
      <c r="X32" s="1531"/>
      <c r="Y32" s="1504" t="s">
        <v>636</v>
      </c>
      <c r="Z32" s="1505"/>
      <c r="AA32" s="1506"/>
      <c r="AB32" s="817"/>
      <c r="AC32" s="862"/>
      <c r="AD32" s="1184" t="s">
        <v>29</v>
      </c>
      <c r="AE32" s="276"/>
      <c r="AF32" s="1504" t="s">
        <v>636</v>
      </c>
      <c r="AG32" s="1505"/>
      <c r="AH32" s="1506"/>
      <c r="AI32" s="817"/>
      <c r="AJ32" s="818"/>
      <c r="AK32" s="554" t="s">
        <v>29</v>
      </c>
      <c r="AL32" s="276"/>
      <c r="AM32" s="1504" t="s">
        <v>636</v>
      </c>
      <c r="AN32" s="1505"/>
      <c r="AO32" s="1506"/>
      <c r="AP32" s="817"/>
      <c r="AQ32" s="818"/>
      <c r="AR32" s="1184" t="s">
        <v>29</v>
      </c>
      <c r="AS32" s="167"/>
      <c r="AT32" s="1146"/>
    </row>
    <row r="33" spans="1:66" ht="15.6" hidden="1" customHeight="1" x14ac:dyDescent="0.25">
      <c r="A33" s="1146"/>
      <c r="B33" s="1531"/>
      <c r="C33" s="1504" t="s">
        <v>636</v>
      </c>
      <c r="D33" s="1505"/>
      <c r="E33" s="1506"/>
      <c r="F33" s="817"/>
      <c r="G33" s="862"/>
      <c r="H33" s="1184" t="s">
        <v>29</v>
      </c>
      <c r="I33" s="276"/>
      <c r="J33" s="1504" t="s">
        <v>636</v>
      </c>
      <c r="K33" s="1505"/>
      <c r="L33" s="1506"/>
      <c r="M33" s="817"/>
      <c r="N33" s="818"/>
      <c r="O33" s="554" t="s">
        <v>29</v>
      </c>
      <c r="P33" s="276"/>
      <c r="Q33" s="1504" t="s">
        <v>636</v>
      </c>
      <c r="R33" s="1505"/>
      <c r="S33" s="1506"/>
      <c r="T33" s="817"/>
      <c r="U33" s="818"/>
      <c r="V33" s="1184" t="s">
        <v>29</v>
      </c>
      <c r="W33" s="348"/>
      <c r="X33" s="1531"/>
      <c r="Y33" s="1504" t="s">
        <v>636</v>
      </c>
      <c r="Z33" s="1505"/>
      <c r="AA33" s="1506"/>
      <c r="AB33" s="817"/>
      <c r="AC33" s="862"/>
      <c r="AD33" s="1184" t="s">
        <v>29</v>
      </c>
      <c r="AE33" s="276"/>
      <c r="AF33" s="1504" t="s">
        <v>636</v>
      </c>
      <c r="AG33" s="1505"/>
      <c r="AH33" s="1506"/>
      <c r="AI33" s="817"/>
      <c r="AJ33" s="818"/>
      <c r="AK33" s="554" t="s">
        <v>29</v>
      </c>
      <c r="AL33" s="276"/>
      <c r="AM33" s="1504" t="s">
        <v>636</v>
      </c>
      <c r="AN33" s="1505"/>
      <c r="AO33" s="1506"/>
      <c r="AP33" s="817"/>
      <c r="AQ33" s="818"/>
      <c r="AR33" s="1184" t="s">
        <v>29</v>
      </c>
      <c r="AS33" s="348"/>
      <c r="AT33" s="1146"/>
    </row>
    <row r="34" spans="1:66" ht="15.6" hidden="1" customHeight="1" x14ac:dyDescent="0.25">
      <c r="A34" s="1146"/>
      <c r="B34" s="1531"/>
      <c r="C34" s="1504" t="s">
        <v>636</v>
      </c>
      <c r="D34" s="1505"/>
      <c r="E34" s="1506"/>
      <c r="F34" s="817"/>
      <c r="G34" s="862"/>
      <c r="H34" s="1184" t="s">
        <v>29</v>
      </c>
      <c r="I34" s="276"/>
      <c r="J34" s="1504" t="s">
        <v>636</v>
      </c>
      <c r="K34" s="1505"/>
      <c r="L34" s="1506"/>
      <c r="M34" s="817"/>
      <c r="N34" s="818"/>
      <c r="O34" s="554" t="s">
        <v>29</v>
      </c>
      <c r="P34" s="276"/>
      <c r="Q34" s="1504" t="s">
        <v>636</v>
      </c>
      <c r="R34" s="1505"/>
      <c r="S34" s="1506"/>
      <c r="T34" s="817"/>
      <c r="U34" s="818"/>
      <c r="V34" s="1184" t="s">
        <v>29</v>
      </c>
      <c r="W34" s="348"/>
      <c r="X34" s="1531"/>
      <c r="Y34" s="1504" t="s">
        <v>636</v>
      </c>
      <c r="Z34" s="1505"/>
      <c r="AA34" s="1506"/>
      <c r="AB34" s="817"/>
      <c r="AC34" s="862"/>
      <c r="AD34" s="1184" t="s">
        <v>29</v>
      </c>
      <c r="AE34" s="276"/>
      <c r="AF34" s="1504" t="s">
        <v>636</v>
      </c>
      <c r="AG34" s="1505"/>
      <c r="AH34" s="1506"/>
      <c r="AI34" s="817"/>
      <c r="AJ34" s="818"/>
      <c r="AK34" s="554" t="s">
        <v>29</v>
      </c>
      <c r="AL34" s="276"/>
      <c r="AM34" s="1504" t="s">
        <v>636</v>
      </c>
      <c r="AN34" s="1505"/>
      <c r="AO34" s="1506"/>
      <c r="AP34" s="817"/>
      <c r="AQ34" s="818"/>
      <c r="AR34" s="1184" t="s">
        <v>29</v>
      </c>
      <c r="AS34" s="348"/>
      <c r="AT34" s="1146"/>
    </row>
    <row r="35" spans="1:66" ht="15.6" hidden="1" customHeight="1" x14ac:dyDescent="0.25">
      <c r="A35" s="1146"/>
      <c r="B35" s="1531"/>
      <c r="C35" s="1504" t="s">
        <v>636</v>
      </c>
      <c r="D35" s="1505"/>
      <c r="E35" s="1506"/>
      <c r="F35" s="817"/>
      <c r="G35" s="862"/>
      <c r="H35" s="1184" t="s">
        <v>29</v>
      </c>
      <c r="I35" s="276"/>
      <c r="J35" s="1504" t="s">
        <v>636</v>
      </c>
      <c r="K35" s="1505"/>
      <c r="L35" s="1506"/>
      <c r="M35" s="817"/>
      <c r="N35" s="818"/>
      <c r="O35" s="554" t="s">
        <v>29</v>
      </c>
      <c r="P35" s="276"/>
      <c r="Q35" s="1504" t="s">
        <v>636</v>
      </c>
      <c r="R35" s="1505"/>
      <c r="S35" s="1506"/>
      <c r="T35" s="817"/>
      <c r="U35" s="818"/>
      <c r="V35" s="1184" t="s">
        <v>29</v>
      </c>
      <c r="W35" s="348"/>
      <c r="X35" s="1531"/>
      <c r="Y35" s="1504" t="s">
        <v>636</v>
      </c>
      <c r="Z35" s="1505"/>
      <c r="AA35" s="1506"/>
      <c r="AB35" s="817"/>
      <c r="AC35" s="862"/>
      <c r="AD35" s="1184" t="s">
        <v>29</v>
      </c>
      <c r="AE35" s="276"/>
      <c r="AF35" s="1504" t="s">
        <v>636</v>
      </c>
      <c r="AG35" s="1505"/>
      <c r="AH35" s="1506"/>
      <c r="AI35" s="817"/>
      <c r="AJ35" s="818"/>
      <c r="AK35" s="554" t="s">
        <v>29</v>
      </c>
      <c r="AL35" s="276"/>
      <c r="AM35" s="1504" t="s">
        <v>636</v>
      </c>
      <c r="AN35" s="1505"/>
      <c r="AO35" s="1506"/>
      <c r="AP35" s="817"/>
      <c r="AQ35" s="818"/>
      <c r="AR35" s="1184" t="s">
        <v>29</v>
      </c>
      <c r="AS35" s="348"/>
      <c r="AT35" s="1146"/>
    </row>
    <row r="36" spans="1:66" ht="15.6" hidden="1" customHeight="1" x14ac:dyDescent="0.25">
      <c r="A36" s="1146"/>
      <c r="B36" s="1531"/>
      <c r="C36" s="1504" t="s">
        <v>636</v>
      </c>
      <c r="D36" s="1505"/>
      <c r="E36" s="1506"/>
      <c r="F36" s="817"/>
      <c r="G36" s="862"/>
      <c r="H36" s="1184" t="s">
        <v>29</v>
      </c>
      <c r="I36" s="276"/>
      <c r="J36" s="1504" t="s">
        <v>636</v>
      </c>
      <c r="K36" s="1505"/>
      <c r="L36" s="1506"/>
      <c r="M36" s="817"/>
      <c r="N36" s="818"/>
      <c r="O36" s="554" t="s">
        <v>29</v>
      </c>
      <c r="P36" s="276"/>
      <c r="Q36" s="1504" t="s">
        <v>636</v>
      </c>
      <c r="R36" s="1505"/>
      <c r="S36" s="1506"/>
      <c r="T36" s="817"/>
      <c r="U36" s="818"/>
      <c r="V36" s="1184" t="s">
        <v>29</v>
      </c>
      <c r="W36" s="348"/>
      <c r="X36" s="1531"/>
      <c r="Y36" s="1504" t="s">
        <v>636</v>
      </c>
      <c r="Z36" s="1505"/>
      <c r="AA36" s="1506"/>
      <c r="AB36" s="817"/>
      <c r="AC36" s="862"/>
      <c r="AD36" s="1184" t="s">
        <v>29</v>
      </c>
      <c r="AE36" s="276"/>
      <c r="AF36" s="1504" t="s">
        <v>636</v>
      </c>
      <c r="AG36" s="1505"/>
      <c r="AH36" s="1506"/>
      <c r="AI36" s="817"/>
      <c r="AJ36" s="818"/>
      <c r="AK36" s="554" t="s">
        <v>29</v>
      </c>
      <c r="AL36" s="276"/>
      <c r="AM36" s="1504" t="s">
        <v>636</v>
      </c>
      <c r="AN36" s="1505"/>
      <c r="AO36" s="1506"/>
      <c r="AP36" s="817"/>
      <c r="AQ36" s="818"/>
      <c r="AR36" s="1184" t="s">
        <v>29</v>
      </c>
      <c r="AS36" s="348"/>
      <c r="AT36" s="1146"/>
    </row>
    <row r="37" spans="1:66" ht="15.6" hidden="1" customHeight="1" x14ac:dyDescent="0.25">
      <c r="A37" s="1146"/>
      <c r="B37" s="1531"/>
      <c r="C37" s="1504" t="s">
        <v>636</v>
      </c>
      <c r="D37" s="1505"/>
      <c r="E37" s="1506"/>
      <c r="F37" s="817"/>
      <c r="G37" s="862"/>
      <c r="H37" s="1184" t="s">
        <v>29</v>
      </c>
      <c r="I37" s="276"/>
      <c r="J37" s="1504" t="s">
        <v>636</v>
      </c>
      <c r="K37" s="1505"/>
      <c r="L37" s="1506"/>
      <c r="M37" s="817"/>
      <c r="N37" s="818"/>
      <c r="O37" s="554" t="s">
        <v>29</v>
      </c>
      <c r="P37" s="276"/>
      <c r="Q37" s="1504" t="s">
        <v>636</v>
      </c>
      <c r="R37" s="1505"/>
      <c r="S37" s="1506"/>
      <c r="T37" s="817"/>
      <c r="U37" s="818"/>
      <c r="V37" s="1184" t="s">
        <v>29</v>
      </c>
      <c r="W37" s="348"/>
      <c r="X37" s="1531"/>
      <c r="Y37" s="1504" t="s">
        <v>636</v>
      </c>
      <c r="Z37" s="1505"/>
      <c r="AA37" s="1506"/>
      <c r="AB37" s="817"/>
      <c r="AC37" s="862"/>
      <c r="AD37" s="1184" t="s">
        <v>29</v>
      </c>
      <c r="AE37" s="276"/>
      <c r="AF37" s="1504" t="s">
        <v>636</v>
      </c>
      <c r="AG37" s="1505"/>
      <c r="AH37" s="1506"/>
      <c r="AI37" s="817"/>
      <c r="AJ37" s="818"/>
      <c r="AK37" s="554" t="s">
        <v>29</v>
      </c>
      <c r="AL37" s="276"/>
      <c r="AM37" s="1504" t="s">
        <v>636</v>
      </c>
      <c r="AN37" s="1505"/>
      <c r="AO37" s="1506"/>
      <c r="AP37" s="817"/>
      <c r="AQ37" s="818"/>
      <c r="AR37" s="1184" t="s">
        <v>29</v>
      </c>
      <c r="AS37" s="348"/>
      <c r="AT37" s="1146"/>
    </row>
    <row r="38" spans="1:66" ht="15.6" customHeight="1" x14ac:dyDescent="0.25">
      <c r="A38" s="1146"/>
      <c r="B38" s="1531"/>
      <c r="C38" s="1507" t="s">
        <v>840</v>
      </c>
      <c r="D38" s="1507"/>
      <c r="E38" s="1507"/>
      <c r="F38" s="1189">
        <v>120</v>
      </c>
      <c r="G38" s="887" t="s">
        <v>32</v>
      </c>
      <c r="H38" s="382"/>
      <c r="I38" s="276"/>
      <c r="J38" s="1507" t="s">
        <v>840</v>
      </c>
      <c r="K38" s="1507"/>
      <c r="L38" s="1507"/>
      <c r="M38" s="1189">
        <v>120</v>
      </c>
      <c r="N38" s="887" t="s">
        <v>32</v>
      </c>
      <c r="O38" s="801"/>
      <c r="P38" s="276"/>
      <c r="Q38" s="1507" t="s">
        <v>840</v>
      </c>
      <c r="R38" s="1507"/>
      <c r="S38" s="1507"/>
      <c r="T38" s="1189">
        <v>120</v>
      </c>
      <c r="U38" s="887" t="s">
        <v>32</v>
      </c>
      <c r="V38" s="276"/>
      <c r="W38" s="348"/>
      <c r="X38" s="1531"/>
      <c r="Y38" s="1507" t="s">
        <v>840</v>
      </c>
      <c r="Z38" s="1507"/>
      <c r="AA38" s="1507"/>
      <c r="AB38" s="1189">
        <v>120</v>
      </c>
      <c r="AC38" s="887" t="s">
        <v>32</v>
      </c>
      <c r="AD38" s="382"/>
      <c r="AE38" s="276"/>
      <c r="AF38" s="1507" t="s">
        <v>840</v>
      </c>
      <c r="AG38" s="1507"/>
      <c r="AH38" s="1507"/>
      <c r="AI38" s="1189">
        <v>120</v>
      </c>
      <c r="AJ38" s="887" t="s">
        <v>32</v>
      </c>
      <c r="AK38" s="801"/>
      <c r="AL38" s="276"/>
      <c r="AM38" s="1507" t="s">
        <v>840</v>
      </c>
      <c r="AN38" s="1507"/>
      <c r="AO38" s="1507"/>
      <c r="AP38" s="1189">
        <v>120</v>
      </c>
      <c r="AQ38" s="887" t="s">
        <v>32</v>
      </c>
      <c r="AR38" s="276"/>
      <c r="AS38" s="348"/>
      <c r="AT38" s="1146"/>
    </row>
    <row r="39" spans="1:66" ht="15.6" customHeight="1" x14ac:dyDescent="0.25">
      <c r="A39" s="1146"/>
      <c r="B39" s="1531"/>
      <c r="C39" s="1510" t="s">
        <v>842</v>
      </c>
      <c r="D39" s="1508"/>
      <c r="E39" s="1508"/>
      <c r="F39" s="1509"/>
      <c r="G39" s="386">
        <v>62.75</v>
      </c>
      <c r="H39" s="51" t="s">
        <v>764</v>
      </c>
      <c r="I39" s="276"/>
      <c r="J39" s="1510" t="s">
        <v>843</v>
      </c>
      <c r="K39" s="1508"/>
      <c r="L39" s="1508"/>
      <c r="M39" s="1509"/>
      <c r="N39" s="386">
        <v>54.5</v>
      </c>
      <c r="O39" s="51" t="s">
        <v>760</v>
      </c>
      <c r="P39" s="387"/>
      <c r="Q39" s="1510" t="s">
        <v>844</v>
      </c>
      <c r="R39" s="1508"/>
      <c r="S39" s="1508"/>
      <c r="T39" s="1509"/>
      <c r="U39" s="386">
        <v>72.38</v>
      </c>
      <c r="V39" s="51" t="s">
        <v>767</v>
      </c>
      <c r="W39" s="888"/>
      <c r="X39" s="1531"/>
      <c r="Y39" s="1510" t="s">
        <v>842</v>
      </c>
      <c r="Z39" s="1508"/>
      <c r="AA39" s="1508"/>
      <c r="AB39" s="1509"/>
      <c r="AC39" s="386">
        <v>62.75</v>
      </c>
      <c r="AD39" s="51" t="s">
        <v>764</v>
      </c>
      <c r="AE39" s="276"/>
      <c r="AF39" s="1510" t="s">
        <v>843</v>
      </c>
      <c r="AG39" s="1508"/>
      <c r="AH39" s="1508"/>
      <c r="AI39" s="1509"/>
      <c r="AJ39" s="386">
        <v>62.25</v>
      </c>
      <c r="AK39" s="51" t="s">
        <v>763</v>
      </c>
      <c r="AL39" s="387"/>
      <c r="AM39" s="1510" t="s">
        <v>844</v>
      </c>
      <c r="AN39" s="1508"/>
      <c r="AO39" s="1508"/>
      <c r="AP39" s="1509"/>
      <c r="AQ39" s="386">
        <v>64.63</v>
      </c>
      <c r="AR39" s="51" t="s">
        <v>764</v>
      </c>
      <c r="AS39" s="888"/>
      <c r="AT39" s="1146"/>
      <c r="AU39" s="1039"/>
    </row>
    <row r="40" spans="1:66" ht="15.6" customHeight="1" x14ac:dyDescent="0.25">
      <c r="A40" s="1146"/>
      <c r="B40" s="1531"/>
      <c r="C40" s="398"/>
      <c r="D40" s="398"/>
      <c r="E40" s="398"/>
      <c r="F40" s="276"/>
      <c r="G40" s="276"/>
      <c r="H40" s="276"/>
      <c r="I40" s="1189"/>
      <c r="J40" s="276"/>
      <c r="K40" s="276"/>
      <c r="L40" s="276"/>
      <c r="M40" s="398"/>
      <c r="N40" s="399"/>
      <c r="O40" s="276"/>
      <c r="P40" s="387"/>
      <c r="Q40" s="400"/>
      <c r="R40" s="400"/>
      <c r="S40" s="400"/>
      <c r="T40" s="1189"/>
      <c r="U40" s="260"/>
      <c r="V40" s="260"/>
      <c r="W40" s="888"/>
      <c r="X40" s="1531"/>
      <c r="Y40" s="398"/>
      <c r="Z40" s="398"/>
      <c r="AA40" s="398"/>
      <c r="AB40" s="276"/>
      <c r="AC40" s="276"/>
      <c r="AD40" s="276"/>
      <c r="AE40" s="1189"/>
      <c r="AF40" s="276"/>
      <c r="AG40" s="276"/>
      <c r="AH40" s="276"/>
      <c r="AI40" s="398"/>
      <c r="AJ40" s="399"/>
      <c r="AK40" s="276"/>
      <c r="AL40" s="387"/>
      <c r="AM40" s="400"/>
      <c r="AN40" s="400"/>
      <c r="AO40" s="400"/>
      <c r="AP40" s="1189"/>
      <c r="AQ40" s="260"/>
      <c r="AR40" s="260"/>
      <c r="AS40" s="888"/>
      <c r="AT40" s="1146"/>
    </row>
    <row r="41" spans="1:66" ht="15.6" customHeight="1" x14ac:dyDescent="0.25">
      <c r="A41" s="1146"/>
      <c r="B41" s="1531"/>
      <c r="C41" s="1536" t="s">
        <v>1143</v>
      </c>
      <c r="D41" s="1511"/>
      <c r="E41" s="1511"/>
      <c r="F41" s="1140">
        <v>63.44</v>
      </c>
      <c r="G41" s="1139"/>
      <c r="H41" s="1139"/>
      <c r="I41" s="1139"/>
      <c r="J41" s="1139"/>
      <c r="K41" s="1139"/>
      <c r="L41" s="1139"/>
      <c r="M41" s="1139"/>
      <c r="N41" s="1139"/>
      <c r="O41" s="1139"/>
      <c r="P41" s="1139"/>
      <c r="Q41" s="1139"/>
      <c r="R41" s="1139"/>
      <c r="S41" s="1139"/>
      <c r="T41" s="1115" t="s">
        <v>848</v>
      </c>
      <c r="U41" s="406">
        <v>63.21</v>
      </c>
      <c r="V41" s="407" t="s">
        <v>764</v>
      </c>
      <c r="W41" s="888"/>
      <c r="X41" s="1531"/>
      <c r="Y41" s="1536" t="s">
        <v>1143</v>
      </c>
      <c r="Z41" s="1511"/>
      <c r="AA41" s="1511"/>
      <c r="AB41" s="1140">
        <v>63.44</v>
      </c>
      <c r="AC41" s="1139"/>
      <c r="AD41" s="1139"/>
      <c r="AE41" s="1139"/>
      <c r="AF41" s="1139"/>
      <c r="AG41" s="1139"/>
      <c r="AH41" s="1139"/>
      <c r="AI41" s="1139"/>
      <c r="AJ41" s="1139"/>
      <c r="AK41" s="1139"/>
      <c r="AL41" s="1139"/>
      <c r="AM41" s="1139"/>
      <c r="AN41" s="1139"/>
      <c r="AO41" s="1139"/>
      <c r="AP41" s="1115" t="s">
        <v>848</v>
      </c>
      <c r="AQ41" s="406">
        <v>63.21</v>
      </c>
      <c r="AR41" s="407" t="s">
        <v>764</v>
      </c>
      <c r="AS41" s="888"/>
      <c r="AT41" s="1146"/>
      <c r="AY41" s="1382" t="s">
        <v>1308</v>
      </c>
      <c r="AZ41" s="1383"/>
      <c r="BA41" s="1383"/>
      <c r="BB41" s="1383"/>
      <c r="BC41" s="1383"/>
      <c r="BD41" s="1383"/>
      <c r="BE41" s="1383"/>
      <c r="BF41" s="1384"/>
    </row>
    <row r="42" spans="1:66" ht="15.6" customHeight="1" x14ac:dyDescent="0.25">
      <c r="A42" s="1146"/>
      <c r="B42" s="1531"/>
      <c r="C42" s="132"/>
      <c r="D42" s="132"/>
      <c r="E42" s="132"/>
      <c r="F42" s="801"/>
      <c r="G42" s="801"/>
      <c r="H42" s="801"/>
      <c r="I42" s="40"/>
      <c r="J42" s="801"/>
      <c r="K42" s="801"/>
      <c r="L42" s="801"/>
      <c r="M42" s="132"/>
      <c r="N42" s="411"/>
      <c r="O42" s="801"/>
      <c r="P42" s="342"/>
      <c r="Q42" s="412"/>
      <c r="R42" s="412"/>
      <c r="S42" s="412"/>
      <c r="T42" s="433"/>
      <c r="U42" s="783"/>
      <c r="V42" s="373"/>
      <c r="W42" s="888"/>
      <c r="X42" s="1531"/>
      <c r="Y42" s="132"/>
      <c r="Z42" s="132"/>
      <c r="AA42" s="132"/>
      <c r="AB42" s="801"/>
      <c r="AC42" s="801"/>
      <c r="AD42" s="801"/>
      <c r="AE42" s="40"/>
      <c r="AF42" s="801"/>
      <c r="AG42" s="801"/>
      <c r="AH42" s="801"/>
      <c r="AI42" s="132"/>
      <c r="AJ42" s="411"/>
      <c r="AK42" s="801"/>
      <c r="AL42" s="342"/>
      <c r="AM42" s="412"/>
      <c r="AN42" s="412"/>
      <c r="AO42" s="412"/>
      <c r="AP42" s="433"/>
      <c r="AQ42" s="783"/>
      <c r="AR42" s="373"/>
      <c r="AS42" s="888"/>
      <c r="AT42" s="1146"/>
      <c r="AY42" s="1335" t="s">
        <v>805</v>
      </c>
      <c r="AZ42" s="1336" t="s">
        <v>25</v>
      </c>
      <c r="BA42" s="1337" t="s">
        <v>5</v>
      </c>
      <c r="BB42" s="1337" t="s">
        <v>504</v>
      </c>
      <c r="BC42" s="1338" t="s">
        <v>506</v>
      </c>
      <c r="BD42" s="1339"/>
      <c r="BE42" s="1522" t="s">
        <v>1302</v>
      </c>
      <c r="BF42" s="1523">
        <v>0</v>
      </c>
      <c r="BN42" s="1363"/>
    </row>
    <row r="43" spans="1:66" ht="15.6" customHeight="1" x14ac:dyDescent="0.25">
      <c r="A43" s="1146"/>
      <c r="B43" s="1531"/>
      <c r="C43" s="1181" t="s">
        <v>852</v>
      </c>
      <c r="D43" s="1182"/>
      <c r="E43" s="1182"/>
      <c r="F43" s="1182"/>
      <c r="G43" s="1182"/>
      <c r="H43" s="1077"/>
      <c r="I43" s="1182"/>
      <c r="J43" s="1183"/>
      <c r="K43" s="1487" t="s">
        <v>950</v>
      </c>
      <c r="L43" s="1488"/>
      <c r="M43" s="1488"/>
      <c r="N43" s="1489"/>
      <c r="O43" s="1490" t="s">
        <v>807</v>
      </c>
      <c r="P43" s="1491"/>
      <c r="Q43" s="1494" t="s">
        <v>992</v>
      </c>
      <c r="R43" s="1495"/>
      <c r="S43" s="1498" t="s">
        <v>993</v>
      </c>
      <c r="T43" s="801"/>
      <c r="U43" s="784"/>
      <c r="V43" s="373"/>
      <c r="W43" s="888"/>
      <c r="X43" s="1531"/>
      <c r="Y43" s="1181" t="s">
        <v>852</v>
      </c>
      <c r="Z43" s="1182"/>
      <c r="AA43" s="1182"/>
      <c r="AB43" s="1182"/>
      <c r="AC43" s="1182"/>
      <c r="AD43" s="1077"/>
      <c r="AE43" s="1182"/>
      <c r="AF43" s="1183"/>
      <c r="AG43" s="1487" t="s">
        <v>950</v>
      </c>
      <c r="AH43" s="1488"/>
      <c r="AI43" s="1488"/>
      <c r="AJ43" s="1489"/>
      <c r="AK43" s="1490" t="s">
        <v>807</v>
      </c>
      <c r="AL43" s="1491"/>
      <c r="AM43" s="1494" t="s">
        <v>992</v>
      </c>
      <c r="AN43" s="1495"/>
      <c r="AO43" s="1498" t="s">
        <v>993</v>
      </c>
      <c r="AP43" s="801"/>
      <c r="AQ43" s="784"/>
      <c r="AR43" s="373"/>
      <c r="AS43" s="888"/>
      <c r="AT43" s="1146"/>
      <c r="AY43" s="704" t="s">
        <v>1303</v>
      </c>
      <c r="AZ43" s="1340"/>
      <c r="BA43" s="1340"/>
      <c r="BB43" s="1341"/>
      <c r="BC43" s="1341"/>
      <c r="BD43" s="434"/>
      <c r="BE43" s="1184" t="s">
        <v>1304</v>
      </c>
      <c r="BF43" s="1184" t="s">
        <v>529</v>
      </c>
      <c r="BM43" s="1363"/>
    </row>
    <row r="44" spans="1:66" ht="15.6" customHeight="1" x14ac:dyDescent="0.25">
      <c r="A44" s="1146"/>
      <c r="B44" s="1531"/>
      <c r="C44" s="1078" t="s">
        <v>955</v>
      </c>
      <c r="D44" s="1030"/>
      <c r="E44" s="1045"/>
      <c r="F44" s="1079"/>
      <c r="G44" s="1080" t="s">
        <v>948</v>
      </c>
      <c r="H44" s="1082" t="s">
        <v>1127</v>
      </c>
      <c r="I44" s="1500" t="s">
        <v>991</v>
      </c>
      <c r="J44" s="1501"/>
      <c r="K44" s="1188" t="s">
        <v>13</v>
      </c>
      <c r="L44" s="698" t="s">
        <v>14</v>
      </c>
      <c r="M44" s="698" t="s">
        <v>15</v>
      </c>
      <c r="N44" s="698" t="s">
        <v>949</v>
      </c>
      <c r="O44" s="1492"/>
      <c r="P44" s="1493"/>
      <c r="Q44" s="1496"/>
      <c r="R44" s="1497"/>
      <c r="S44" s="1499"/>
      <c r="T44" s="801"/>
      <c r="U44" s="801"/>
      <c r="V44" s="801"/>
      <c r="W44" s="888"/>
      <c r="X44" s="1531"/>
      <c r="Y44" s="1078" t="s">
        <v>955</v>
      </c>
      <c r="Z44" s="1030"/>
      <c r="AA44" s="1045"/>
      <c r="AB44" s="1079"/>
      <c r="AC44" s="1080" t="s">
        <v>948</v>
      </c>
      <c r="AD44" s="1082" t="s">
        <v>1127</v>
      </c>
      <c r="AE44" s="1500" t="s">
        <v>991</v>
      </c>
      <c r="AF44" s="1501"/>
      <c r="AG44" s="1188" t="s">
        <v>13</v>
      </c>
      <c r="AH44" s="698" t="s">
        <v>14</v>
      </c>
      <c r="AI44" s="698" t="s">
        <v>15</v>
      </c>
      <c r="AJ44" s="698" t="s">
        <v>949</v>
      </c>
      <c r="AK44" s="1492"/>
      <c r="AL44" s="1493"/>
      <c r="AM44" s="1496"/>
      <c r="AN44" s="1497"/>
      <c r="AO44" s="1499"/>
      <c r="AP44" s="801"/>
      <c r="AQ44" s="801"/>
      <c r="AR44" s="801"/>
      <c r="AS44" s="888"/>
      <c r="AT44" s="1146"/>
      <c r="AY44" s="735">
        <v>1</v>
      </c>
      <c r="AZ44" s="1342">
        <v>360</v>
      </c>
      <c r="BA44" s="1343">
        <v>0</v>
      </c>
      <c r="BB44" s="1344" t="s">
        <v>38</v>
      </c>
      <c r="BC44" s="1345" t="s">
        <v>39</v>
      </c>
      <c r="BD44" s="1346"/>
      <c r="BE44" s="1376">
        <f>Q48</f>
        <v>66.05</v>
      </c>
      <c r="BF44" s="1376">
        <f>AM48</f>
        <v>63.73</v>
      </c>
    </row>
    <row r="45" spans="1:66" ht="15.6" customHeight="1" x14ac:dyDescent="0.25">
      <c r="A45" s="1146"/>
      <c r="B45" s="1531"/>
      <c r="C45" s="690" t="s">
        <v>945</v>
      </c>
      <c r="D45" s="692"/>
      <c r="E45" s="692"/>
      <c r="F45" s="692"/>
      <c r="G45" s="313"/>
      <c r="H45" s="313"/>
      <c r="I45" s="312"/>
      <c r="J45" s="313"/>
      <c r="K45" s="313"/>
      <c r="L45" s="313"/>
      <c r="M45" s="702"/>
      <c r="N45" s="1044"/>
      <c r="O45" s="1044"/>
      <c r="P45" s="424"/>
      <c r="Q45" s="702"/>
      <c r="R45" s="702"/>
      <c r="S45" s="1081"/>
      <c r="T45" s="1078"/>
      <c r="U45" s="1502" t="s">
        <v>1129</v>
      </c>
      <c r="V45" s="1502"/>
      <c r="W45" s="888"/>
      <c r="X45" s="1531"/>
      <c r="Y45" s="690" t="s">
        <v>945</v>
      </c>
      <c r="Z45" s="692"/>
      <c r="AA45" s="692"/>
      <c r="AB45" s="692"/>
      <c r="AC45" s="313"/>
      <c r="AD45" s="313"/>
      <c r="AE45" s="312"/>
      <c r="AF45" s="313"/>
      <c r="AG45" s="313"/>
      <c r="AH45" s="313"/>
      <c r="AI45" s="702"/>
      <c r="AJ45" s="1044"/>
      <c r="AK45" s="1044"/>
      <c r="AL45" s="424"/>
      <c r="AM45" s="702"/>
      <c r="AN45" s="702"/>
      <c r="AO45" s="1081"/>
      <c r="AP45" s="1078"/>
      <c r="AQ45" s="1502" t="s">
        <v>1129</v>
      </c>
      <c r="AR45" s="1502"/>
      <c r="AS45" s="888"/>
      <c r="AT45" s="1146"/>
      <c r="AY45" s="1347" t="s">
        <v>1305</v>
      </c>
      <c r="AZ45" s="1348"/>
      <c r="BA45" s="1348"/>
      <c r="BB45" s="1349"/>
      <c r="BC45" s="1350"/>
      <c r="BD45" s="1351"/>
      <c r="BE45" s="826"/>
      <c r="BF45" s="826"/>
    </row>
    <row r="46" spans="1:66" ht="15.6" customHeight="1" x14ac:dyDescent="0.25">
      <c r="A46" s="1146"/>
      <c r="B46" s="1531"/>
      <c r="C46" s="431" t="s">
        <v>28</v>
      </c>
      <c r="D46" s="687"/>
      <c r="E46" s="687"/>
      <c r="F46" s="687"/>
      <c r="G46" s="689">
        <v>1</v>
      </c>
      <c r="H46" s="1083">
        <v>1</v>
      </c>
      <c r="I46" s="1472">
        <v>360</v>
      </c>
      <c r="J46" s="1472"/>
      <c r="K46" s="618">
        <v>0</v>
      </c>
      <c r="L46" s="618">
        <v>0</v>
      </c>
      <c r="M46" s="618">
        <v>0</v>
      </c>
      <c r="N46" s="618">
        <v>0</v>
      </c>
      <c r="O46" s="1466" t="s">
        <v>1128</v>
      </c>
      <c r="P46" s="1466"/>
      <c r="Q46" s="1473">
        <v>67.290000000000006</v>
      </c>
      <c r="R46" s="1474"/>
      <c r="S46" s="707">
        <v>0</v>
      </c>
      <c r="T46" s="132"/>
      <c r="U46" s="1502"/>
      <c r="V46" s="1502"/>
      <c r="W46" s="1098"/>
      <c r="X46" s="1531"/>
      <c r="Y46" s="431" t="s">
        <v>28</v>
      </c>
      <c r="Z46" s="687"/>
      <c r="AA46" s="687"/>
      <c r="AB46" s="687"/>
      <c r="AC46" s="689">
        <v>1</v>
      </c>
      <c r="AD46" s="1083">
        <v>1</v>
      </c>
      <c r="AE46" s="1472">
        <v>360</v>
      </c>
      <c r="AF46" s="1472"/>
      <c r="AG46" s="618">
        <v>0</v>
      </c>
      <c r="AH46" s="618">
        <v>0</v>
      </c>
      <c r="AI46" s="618">
        <v>0</v>
      </c>
      <c r="AJ46" s="618">
        <v>0</v>
      </c>
      <c r="AK46" s="1466" t="s">
        <v>1128</v>
      </c>
      <c r="AL46" s="1466"/>
      <c r="AM46" s="1473">
        <v>63.98</v>
      </c>
      <c r="AN46" s="1474"/>
      <c r="AO46" s="707">
        <v>0</v>
      </c>
      <c r="AP46" s="132"/>
      <c r="AQ46" s="1502"/>
      <c r="AR46" s="1502"/>
      <c r="AS46" s="1098"/>
      <c r="AT46" s="1146"/>
      <c r="AY46" s="703">
        <v>2</v>
      </c>
      <c r="AZ46" s="1342">
        <f>AE53</f>
        <v>240</v>
      </c>
      <c r="BA46" s="1342"/>
      <c r="BB46" s="1342" t="str">
        <f>AK55</f>
        <v>50 - 50</v>
      </c>
      <c r="BC46" s="1345" t="str">
        <f>Y55</f>
        <v>Abertay</v>
      </c>
      <c r="BD46" s="1365"/>
      <c r="BE46" s="1376">
        <f>Q55</f>
        <v>63.44</v>
      </c>
      <c r="BF46" s="1376">
        <f>AM55</f>
        <v>63.44</v>
      </c>
    </row>
    <row r="47" spans="1:66" ht="15.6" customHeight="1" x14ac:dyDescent="0.25">
      <c r="A47" s="1146"/>
      <c r="B47" s="1531"/>
      <c r="C47" s="431" t="s">
        <v>59</v>
      </c>
      <c r="D47" s="687"/>
      <c r="E47" s="687"/>
      <c r="F47" s="687"/>
      <c r="G47" s="685">
        <v>1</v>
      </c>
      <c r="H47" s="1084">
        <v>1</v>
      </c>
      <c r="I47" s="1477">
        <v>360</v>
      </c>
      <c r="J47" s="1477"/>
      <c r="K47" s="684">
        <v>0</v>
      </c>
      <c r="L47" s="684">
        <v>0</v>
      </c>
      <c r="M47" s="684">
        <v>0</v>
      </c>
      <c r="N47" s="684">
        <v>0</v>
      </c>
      <c r="O47" s="1466" t="s">
        <v>1128</v>
      </c>
      <c r="P47" s="1466"/>
      <c r="Q47" s="1467">
        <v>68.400000000000006</v>
      </c>
      <c r="R47" s="1468"/>
      <c r="S47" s="707" t="s">
        <v>32</v>
      </c>
      <c r="T47" s="706">
        <v>0</v>
      </c>
      <c r="U47" s="1503"/>
      <c r="V47" s="1503"/>
      <c r="W47" s="1190"/>
      <c r="X47" s="1531"/>
      <c r="Y47" s="431" t="s">
        <v>59</v>
      </c>
      <c r="Z47" s="687"/>
      <c r="AA47" s="687"/>
      <c r="AB47" s="687"/>
      <c r="AC47" s="685">
        <v>1</v>
      </c>
      <c r="AD47" s="1084">
        <v>1</v>
      </c>
      <c r="AE47" s="1477">
        <v>360</v>
      </c>
      <c r="AF47" s="1477"/>
      <c r="AG47" s="684">
        <v>0</v>
      </c>
      <c r="AH47" s="684">
        <v>0</v>
      </c>
      <c r="AI47" s="684">
        <v>0</v>
      </c>
      <c r="AJ47" s="684">
        <v>0</v>
      </c>
      <c r="AK47" s="1466" t="s">
        <v>1128</v>
      </c>
      <c r="AL47" s="1466"/>
      <c r="AM47" s="1467">
        <v>64.3</v>
      </c>
      <c r="AN47" s="1468"/>
      <c r="AO47" s="707">
        <v>0</v>
      </c>
      <c r="AP47" s="706">
        <v>0</v>
      </c>
      <c r="AQ47" s="1503"/>
      <c r="AR47" s="1503"/>
      <c r="AS47" s="1190"/>
      <c r="AT47" s="1146"/>
      <c r="AY47" s="735">
        <v>3</v>
      </c>
      <c r="AZ47" s="1342">
        <v>240</v>
      </c>
      <c r="BA47" s="1343">
        <v>0</v>
      </c>
      <c r="BB47" s="1342" t="s">
        <v>20</v>
      </c>
      <c r="BC47" s="1345" t="s">
        <v>164</v>
      </c>
      <c r="BD47" s="1346"/>
      <c r="BE47" s="1376">
        <f>Q58</f>
        <v>66.48</v>
      </c>
      <c r="BF47" s="1361">
        <f>AM58</f>
        <v>63.84</v>
      </c>
    </row>
    <row r="48" spans="1:66" ht="15.6" customHeight="1" x14ac:dyDescent="0.25">
      <c r="A48" s="1146"/>
      <c r="B48" s="1531"/>
      <c r="C48" s="431" t="s">
        <v>34</v>
      </c>
      <c r="D48" s="687"/>
      <c r="E48" s="687"/>
      <c r="F48" s="687"/>
      <c r="G48" s="686">
        <v>2</v>
      </c>
      <c r="H48" s="1085">
        <v>2</v>
      </c>
      <c r="I48" s="1477">
        <v>360</v>
      </c>
      <c r="J48" s="1477"/>
      <c r="K48" s="684">
        <v>0</v>
      </c>
      <c r="L48" s="684">
        <v>0</v>
      </c>
      <c r="M48" s="684">
        <v>0</v>
      </c>
      <c r="N48" s="684">
        <v>0</v>
      </c>
      <c r="O48" s="1477" t="s">
        <v>38</v>
      </c>
      <c r="P48" s="1477"/>
      <c r="Q48" s="1467">
        <v>66.05</v>
      </c>
      <c r="R48" s="1468"/>
      <c r="S48" s="707">
        <v>0</v>
      </c>
      <c r="T48" s="132"/>
      <c r="U48" s="196" t="s">
        <v>781</v>
      </c>
      <c r="V48" s="196">
        <v>25</v>
      </c>
      <c r="W48" s="348"/>
      <c r="X48" s="1531"/>
      <c r="Y48" s="431" t="s">
        <v>34</v>
      </c>
      <c r="Z48" s="687"/>
      <c r="AA48" s="687"/>
      <c r="AB48" s="687"/>
      <c r="AC48" s="686">
        <v>2</v>
      </c>
      <c r="AD48" s="1085">
        <v>2</v>
      </c>
      <c r="AE48" s="1477">
        <v>360</v>
      </c>
      <c r="AF48" s="1477"/>
      <c r="AG48" s="684">
        <v>0</v>
      </c>
      <c r="AH48" s="684">
        <v>0</v>
      </c>
      <c r="AI48" s="684">
        <v>0</v>
      </c>
      <c r="AJ48" s="684">
        <v>0</v>
      </c>
      <c r="AK48" s="1477" t="s">
        <v>38</v>
      </c>
      <c r="AL48" s="1477"/>
      <c r="AM48" s="1467">
        <v>63.73</v>
      </c>
      <c r="AN48" s="1468"/>
      <c r="AO48" s="707">
        <v>0</v>
      </c>
      <c r="AP48" s="132"/>
      <c r="AQ48" s="196" t="s">
        <v>781</v>
      </c>
      <c r="AR48" s="196">
        <v>0</v>
      </c>
      <c r="AS48" s="348"/>
      <c r="AT48" s="1146"/>
      <c r="AY48" s="748">
        <v>4</v>
      </c>
      <c r="AZ48" s="1352">
        <v>240</v>
      </c>
      <c r="BA48" s="1353">
        <v>0</v>
      </c>
      <c r="BB48" s="1352" t="s">
        <v>23</v>
      </c>
      <c r="BC48" s="1225" t="s">
        <v>242</v>
      </c>
      <c r="BD48" s="1354"/>
      <c r="BE48" s="1376">
        <f>Q61</f>
        <v>67.91</v>
      </c>
      <c r="BF48" s="1376">
        <f>AM61</f>
        <v>64.040000000000006</v>
      </c>
    </row>
    <row r="49" spans="1:64" ht="15.6" customHeight="1" x14ac:dyDescent="0.25">
      <c r="A49" s="1146"/>
      <c r="B49" s="1531"/>
      <c r="C49" s="431" t="s">
        <v>44</v>
      </c>
      <c r="D49" s="687"/>
      <c r="E49" s="687"/>
      <c r="F49" s="687"/>
      <c r="G49" s="686">
        <v>3</v>
      </c>
      <c r="H49" s="1085">
        <v>1</v>
      </c>
      <c r="I49" s="1477">
        <v>320</v>
      </c>
      <c r="J49" s="1477"/>
      <c r="K49" s="684">
        <v>40</v>
      </c>
      <c r="L49" s="684">
        <v>0</v>
      </c>
      <c r="M49" s="684">
        <v>0</v>
      </c>
      <c r="N49" s="684">
        <v>40</v>
      </c>
      <c r="O49" s="1477" t="s">
        <v>38</v>
      </c>
      <c r="P49" s="1477"/>
      <c r="Q49" s="1467">
        <v>66.45</v>
      </c>
      <c r="R49" s="1468"/>
      <c r="S49" s="707">
        <v>0</v>
      </c>
      <c r="T49" s="132"/>
      <c r="U49" s="196" t="s">
        <v>803</v>
      </c>
      <c r="V49" s="196">
        <v>97</v>
      </c>
      <c r="W49" s="348"/>
      <c r="X49" s="1531"/>
      <c r="Y49" s="431" t="s">
        <v>44</v>
      </c>
      <c r="Z49" s="687"/>
      <c r="AA49" s="687"/>
      <c r="AB49" s="687"/>
      <c r="AC49" s="686">
        <v>3</v>
      </c>
      <c r="AD49" s="1085">
        <v>1</v>
      </c>
      <c r="AE49" s="1477">
        <v>320</v>
      </c>
      <c r="AF49" s="1477"/>
      <c r="AG49" s="684">
        <v>40</v>
      </c>
      <c r="AH49" s="684">
        <v>0</v>
      </c>
      <c r="AI49" s="684">
        <v>0</v>
      </c>
      <c r="AJ49" s="684">
        <v>40</v>
      </c>
      <c r="AK49" s="1477" t="s">
        <v>38</v>
      </c>
      <c r="AL49" s="1477"/>
      <c r="AM49" s="1467">
        <v>64.040000000000006</v>
      </c>
      <c r="AN49" s="1468"/>
      <c r="AO49" s="707">
        <v>0</v>
      </c>
      <c r="AP49" s="132"/>
      <c r="AQ49" s="196" t="s">
        <v>803</v>
      </c>
      <c r="AR49" s="196">
        <v>122</v>
      </c>
      <c r="AS49" s="348"/>
      <c r="AT49" s="1146"/>
      <c r="AY49" s="731">
        <v>5</v>
      </c>
      <c r="AZ49" s="1355">
        <v>240</v>
      </c>
      <c r="BA49" s="1356">
        <v>0</v>
      </c>
      <c r="BB49" s="1357" t="s">
        <v>24</v>
      </c>
      <c r="BC49" s="1358" t="s">
        <v>270</v>
      </c>
      <c r="BD49" s="1339"/>
      <c r="BE49" s="1376">
        <f>Q62</f>
        <v>68.8</v>
      </c>
      <c r="BF49" s="1376">
        <f>AM62</f>
        <v>64.150000000000006</v>
      </c>
    </row>
    <row r="50" spans="1:64" ht="15.6" customHeight="1" x14ac:dyDescent="0.25">
      <c r="A50" s="1146"/>
      <c r="B50" s="1531"/>
      <c r="C50" s="431" t="s">
        <v>51</v>
      </c>
      <c r="D50" s="687"/>
      <c r="E50" s="687"/>
      <c r="F50" s="687"/>
      <c r="G50" s="686">
        <v>4</v>
      </c>
      <c r="H50" s="1085">
        <v>1</v>
      </c>
      <c r="I50" s="1477">
        <v>300</v>
      </c>
      <c r="J50" s="1477"/>
      <c r="K50" s="684">
        <v>60</v>
      </c>
      <c r="L50" s="684">
        <v>0</v>
      </c>
      <c r="M50" s="684">
        <v>0</v>
      </c>
      <c r="N50" s="684">
        <v>60</v>
      </c>
      <c r="O50" s="1485" t="s">
        <v>54</v>
      </c>
      <c r="P50" s="1485"/>
      <c r="Q50" s="1467">
        <v>65.63</v>
      </c>
      <c r="R50" s="1468"/>
      <c r="S50" s="707">
        <v>0</v>
      </c>
      <c r="T50" s="132"/>
      <c r="U50" s="196" t="s">
        <v>802</v>
      </c>
      <c r="V50" s="196">
        <v>0</v>
      </c>
      <c r="W50" s="348"/>
      <c r="X50" s="1531"/>
      <c r="Y50" s="431" t="s">
        <v>51</v>
      </c>
      <c r="Z50" s="687"/>
      <c r="AA50" s="687"/>
      <c r="AB50" s="687"/>
      <c r="AC50" s="686">
        <v>4</v>
      </c>
      <c r="AD50" s="1085">
        <v>1</v>
      </c>
      <c r="AE50" s="1477">
        <v>300</v>
      </c>
      <c r="AF50" s="1477"/>
      <c r="AG50" s="684">
        <v>60</v>
      </c>
      <c r="AH50" s="684">
        <v>0</v>
      </c>
      <c r="AI50" s="684">
        <v>0</v>
      </c>
      <c r="AJ50" s="684">
        <v>60</v>
      </c>
      <c r="AK50" s="1485" t="s">
        <v>54</v>
      </c>
      <c r="AL50" s="1485"/>
      <c r="AM50" s="1467">
        <v>64.790000000000006</v>
      </c>
      <c r="AN50" s="1468"/>
      <c r="AO50" s="707">
        <v>0</v>
      </c>
      <c r="AP50" s="132"/>
      <c r="AQ50" s="196" t="s">
        <v>802</v>
      </c>
      <c r="AR50" s="196">
        <v>0</v>
      </c>
      <c r="AS50" s="348"/>
      <c r="AT50" s="1146"/>
      <c r="AY50" s="748">
        <v>6</v>
      </c>
      <c r="AZ50" s="1352">
        <v>210</v>
      </c>
      <c r="BA50" s="1352">
        <v>30</v>
      </c>
      <c r="BB50" s="1359" t="s">
        <v>16</v>
      </c>
      <c r="BC50" s="1225" t="s">
        <v>1050</v>
      </c>
      <c r="BD50" s="1354"/>
      <c r="BE50" s="1376">
        <f>Q64</f>
        <v>73.44</v>
      </c>
      <c r="BF50" s="1376">
        <f>AM64</f>
        <v>64.900000000000006</v>
      </c>
    </row>
    <row r="51" spans="1:64" ht="15.6" customHeight="1" x14ac:dyDescent="0.25">
      <c r="A51" s="1146"/>
      <c r="B51" s="1531"/>
      <c r="C51" s="431" t="s">
        <v>55</v>
      </c>
      <c r="D51" s="687"/>
      <c r="E51" s="687"/>
      <c r="F51" s="687"/>
      <c r="G51" s="453">
        <v>5</v>
      </c>
      <c r="H51" s="1086">
        <v>1</v>
      </c>
      <c r="I51" s="1469">
        <v>300</v>
      </c>
      <c r="J51" s="1469"/>
      <c r="K51" s="617">
        <v>30</v>
      </c>
      <c r="L51" s="617">
        <v>15</v>
      </c>
      <c r="M51" s="617">
        <v>15</v>
      </c>
      <c r="N51" s="617">
        <v>60</v>
      </c>
      <c r="O51" s="1486" t="s">
        <v>33</v>
      </c>
      <c r="P51" s="1486"/>
      <c r="Q51" s="1470">
        <v>66.040000000000006</v>
      </c>
      <c r="R51" s="1471"/>
      <c r="S51" s="707">
        <v>0</v>
      </c>
      <c r="T51" s="132"/>
      <c r="U51" s="196" t="s">
        <v>801</v>
      </c>
      <c r="V51" s="196">
        <v>0</v>
      </c>
      <c r="W51" s="348"/>
      <c r="X51" s="1531"/>
      <c r="Y51" s="431" t="s">
        <v>55</v>
      </c>
      <c r="Z51" s="687"/>
      <c r="AA51" s="687"/>
      <c r="AB51" s="687"/>
      <c r="AC51" s="453">
        <v>5</v>
      </c>
      <c r="AD51" s="1086">
        <v>1</v>
      </c>
      <c r="AE51" s="1469">
        <v>300</v>
      </c>
      <c r="AF51" s="1469"/>
      <c r="AG51" s="617">
        <v>30</v>
      </c>
      <c r="AH51" s="617">
        <v>15</v>
      </c>
      <c r="AI51" s="617">
        <v>15</v>
      </c>
      <c r="AJ51" s="617">
        <v>60</v>
      </c>
      <c r="AK51" s="1486" t="s">
        <v>33</v>
      </c>
      <c r="AL51" s="1486"/>
      <c r="AM51" s="1470">
        <v>63.86</v>
      </c>
      <c r="AN51" s="1471"/>
      <c r="AO51" s="707">
        <v>0</v>
      </c>
      <c r="AP51" s="132"/>
      <c r="AQ51" s="196" t="s">
        <v>801</v>
      </c>
      <c r="AR51" s="196">
        <v>0</v>
      </c>
      <c r="AS51" s="348"/>
      <c r="AT51" s="1146"/>
      <c r="AY51" s="748">
        <v>7</v>
      </c>
      <c r="AZ51" s="1352">
        <v>210</v>
      </c>
      <c r="BA51" s="1352">
        <v>30</v>
      </c>
      <c r="BB51" s="1359" t="s">
        <v>23</v>
      </c>
      <c r="BC51" s="1225" t="s">
        <v>295</v>
      </c>
      <c r="BD51" s="1354"/>
      <c r="BE51" s="1376">
        <f>Q66</f>
        <v>69</v>
      </c>
      <c r="BF51" s="1376">
        <f>AM66</f>
        <v>64.290000000000006</v>
      </c>
    </row>
    <row r="52" spans="1:64" ht="15.6" customHeight="1" x14ac:dyDescent="0.25">
      <c r="A52" s="1146"/>
      <c r="B52" s="1531"/>
      <c r="C52" s="690" t="s">
        <v>946</v>
      </c>
      <c r="D52" s="442"/>
      <c r="E52" s="442"/>
      <c r="F52" s="442"/>
      <c r="G52" s="313"/>
      <c r="H52" s="1087" t="s">
        <v>29</v>
      </c>
      <c r="I52" s="691"/>
      <c r="J52" s="312"/>
      <c r="K52" s="1187"/>
      <c r="L52" s="1187"/>
      <c r="M52" s="1187"/>
      <c r="N52" s="1187"/>
      <c r="O52" s="697"/>
      <c r="P52" s="313"/>
      <c r="Q52" s="708"/>
      <c r="R52" s="795"/>
      <c r="S52" s="1075"/>
      <c r="T52" s="132"/>
      <c r="U52" s="196" t="s">
        <v>515</v>
      </c>
      <c r="V52" s="196">
        <v>122</v>
      </c>
      <c r="W52" s="348"/>
      <c r="X52" s="1531"/>
      <c r="Y52" s="690" t="s">
        <v>946</v>
      </c>
      <c r="Z52" s="442"/>
      <c r="AA52" s="442"/>
      <c r="AB52" s="442"/>
      <c r="AC52" s="313"/>
      <c r="AD52" s="1087" t="s">
        <v>29</v>
      </c>
      <c r="AE52" s="691"/>
      <c r="AF52" s="312"/>
      <c r="AG52" s="1187"/>
      <c r="AH52" s="1187"/>
      <c r="AI52" s="1187"/>
      <c r="AJ52" s="1187"/>
      <c r="AK52" s="697"/>
      <c r="AL52" s="313"/>
      <c r="AM52" s="708"/>
      <c r="AN52" s="795"/>
      <c r="AO52" s="1075"/>
      <c r="AP52" s="132"/>
      <c r="AQ52" s="196" t="s">
        <v>515</v>
      </c>
      <c r="AR52" s="196">
        <v>122</v>
      </c>
      <c r="AS52" s="348"/>
      <c r="AT52" s="1146"/>
      <c r="AY52" s="748">
        <v>8</v>
      </c>
      <c r="AZ52" s="1352">
        <v>210</v>
      </c>
      <c r="BA52" s="1352">
        <v>30</v>
      </c>
      <c r="BB52" s="1359" t="s">
        <v>24</v>
      </c>
      <c r="BC52" s="1225" t="s">
        <v>299</v>
      </c>
      <c r="BD52" s="1354"/>
      <c r="BE52" s="1376">
        <f>Q67</f>
        <v>70.83</v>
      </c>
      <c r="BF52" s="1376">
        <f>AM67</f>
        <v>64.650000000000006</v>
      </c>
    </row>
    <row r="53" spans="1:64" ht="15.6" customHeight="1" x14ac:dyDescent="0.25">
      <c r="A53" s="1146"/>
      <c r="B53" s="1531"/>
      <c r="C53" s="431" t="s">
        <v>402</v>
      </c>
      <c r="D53" s="687"/>
      <c r="E53" s="687"/>
      <c r="F53" s="687"/>
      <c r="G53" s="689">
        <v>7</v>
      </c>
      <c r="H53" s="1083">
        <v>1</v>
      </c>
      <c r="I53" s="1472">
        <v>240</v>
      </c>
      <c r="J53" s="1472"/>
      <c r="K53" s="618">
        <v>0</v>
      </c>
      <c r="L53" s="618">
        <v>0</v>
      </c>
      <c r="M53" s="618">
        <v>0</v>
      </c>
      <c r="N53" s="618">
        <v>0</v>
      </c>
      <c r="O53" s="1466" t="s">
        <v>1128</v>
      </c>
      <c r="P53" s="1466"/>
      <c r="Q53" s="1473">
        <v>67.3</v>
      </c>
      <c r="R53" s="1474"/>
      <c r="S53" s="707">
        <v>0</v>
      </c>
      <c r="T53" s="801"/>
      <c r="U53" s="801"/>
      <c r="V53" s="951"/>
      <c r="W53" s="348"/>
      <c r="X53" s="1531"/>
      <c r="Y53" s="431" t="s">
        <v>402</v>
      </c>
      <c r="Z53" s="687"/>
      <c r="AA53" s="687"/>
      <c r="AB53" s="687"/>
      <c r="AC53" s="689">
        <v>7</v>
      </c>
      <c r="AD53" s="1083">
        <v>1</v>
      </c>
      <c r="AE53" s="1472">
        <v>240</v>
      </c>
      <c r="AF53" s="1472"/>
      <c r="AG53" s="618">
        <v>0</v>
      </c>
      <c r="AH53" s="618">
        <v>0</v>
      </c>
      <c r="AI53" s="618">
        <v>0</v>
      </c>
      <c r="AJ53" s="618">
        <v>0</v>
      </c>
      <c r="AK53" s="1466" t="s">
        <v>1128</v>
      </c>
      <c r="AL53" s="1466"/>
      <c r="AM53" s="1473">
        <v>64.14</v>
      </c>
      <c r="AN53" s="1474"/>
      <c r="AO53" s="707">
        <v>0</v>
      </c>
      <c r="AP53" s="801"/>
      <c r="AQ53" s="801"/>
      <c r="AR53" s="951"/>
      <c r="AS53" s="348"/>
      <c r="AT53" s="1146"/>
      <c r="AY53" s="748">
        <v>9</v>
      </c>
      <c r="AZ53" s="1352">
        <v>200</v>
      </c>
      <c r="BA53" s="1352">
        <v>40</v>
      </c>
      <c r="BB53" s="1359" t="s">
        <v>23</v>
      </c>
      <c r="BC53" s="1225" t="s">
        <v>357</v>
      </c>
      <c r="BD53" s="1354"/>
      <c r="BE53" s="1376">
        <f>Q73</f>
        <v>70.260000000000005</v>
      </c>
      <c r="BF53" s="1376">
        <f>AM73</f>
        <v>64.48</v>
      </c>
    </row>
    <row r="54" spans="1:64" ht="15.6" customHeight="1" x14ac:dyDescent="0.25">
      <c r="A54" s="1146"/>
      <c r="B54" s="1531"/>
      <c r="C54" s="431" t="s">
        <v>273</v>
      </c>
      <c r="D54" s="687"/>
      <c r="E54" s="687"/>
      <c r="F54" s="687"/>
      <c r="G54" s="685">
        <v>7</v>
      </c>
      <c r="H54" s="1084">
        <v>1</v>
      </c>
      <c r="I54" s="1477">
        <v>240</v>
      </c>
      <c r="J54" s="1477"/>
      <c r="K54" s="684">
        <v>0</v>
      </c>
      <c r="L54" s="684">
        <v>0</v>
      </c>
      <c r="M54" s="684">
        <v>0</v>
      </c>
      <c r="N54" s="684">
        <v>0</v>
      </c>
      <c r="O54" s="1466" t="s">
        <v>1128</v>
      </c>
      <c r="P54" s="1466"/>
      <c r="Q54" s="1467">
        <v>71.489999999999995</v>
      </c>
      <c r="R54" s="1468"/>
      <c r="S54" s="707">
        <v>0</v>
      </c>
      <c r="T54" s="801"/>
      <c r="U54" s="40"/>
      <c r="V54" s="951"/>
      <c r="W54" s="348"/>
      <c r="X54" s="1531"/>
      <c r="Y54" s="431" t="s">
        <v>273</v>
      </c>
      <c r="Z54" s="687"/>
      <c r="AA54" s="687"/>
      <c r="AB54" s="687"/>
      <c r="AC54" s="685">
        <v>7</v>
      </c>
      <c r="AD54" s="1084">
        <v>1</v>
      </c>
      <c r="AE54" s="1477">
        <v>240</v>
      </c>
      <c r="AF54" s="1477"/>
      <c r="AG54" s="684">
        <v>0</v>
      </c>
      <c r="AH54" s="684">
        <v>0</v>
      </c>
      <c r="AI54" s="684">
        <v>0</v>
      </c>
      <c r="AJ54" s="684">
        <v>0</v>
      </c>
      <c r="AK54" s="1466" t="s">
        <v>1128</v>
      </c>
      <c r="AL54" s="1466"/>
      <c r="AM54" s="1467">
        <v>64.75</v>
      </c>
      <c r="AN54" s="1468"/>
      <c r="AO54" s="707">
        <v>0</v>
      </c>
      <c r="AP54" s="801"/>
      <c r="AQ54" s="40"/>
      <c r="AR54" s="951"/>
      <c r="AS54" s="348"/>
      <c r="AT54" s="1146"/>
      <c r="AY54" s="748">
        <v>10</v>
      </c>
      <c r="AZ54" s="1352">
        <v>200</v>
      </c>
      <c r="BA54" s="1352">
        <v>40</v>
      </c>
      <c r="BB54" s="1359" t="s">
        <v>24</v>
      </c>
      <c r="BC54" s="1225" t="s">
        <v>359</v>
      </c>
      <c r="BD54" s="1354"/>
      <c r="BE54" s="1376">
        <f>Q75</f>
        <v>70.239999999999995</v>
      </c>
      <c r="BF54" s="1376">
        <f>AM75</f>
        <v>64.489999999999995</v>
      </c>
    </row>
    <row r="55" spans="1:64" ht="15.6" customHeight="1" x14ac:dyDescent="0.25">
      <c r="A55" s="1146"/>
      <c r="B55" s="1531"/>
      <c r="C55" s="431" t="s">
        <v>73</v>
      </c>
      <c r="D55" s="687"/>
      <c r="E55" s="687"/>
      <c r="F55" s="687"/>
      <c r="G55" s="686">
        <v>8</v>
      </c>
      <c r="H55" s="1085">
        <v>8</v>
      </c>
      <c r="I55" s="1477">
        <v>240</v>
      </c>
      <c r="J55" s="1477"/>
      <c r="K55" s="684">
        <v>0</v>
      </c>
      <c r="L55" s="684">
        <v>0</v>
      </c>
      <c r="M55" s="684">
        <v>0</v>
      </c>
      <c r="N55" s="684">
        <v>0</v>
      </c>
      <c r="O55" s="1477" t="s">
        <v>16</v>
      </c>
      <c r="P55" s="1477"/>
      <c r="Q55" s="1467">
        <v>63.44</v>
      </c>
      <c r="R55" s="1468"/>
      <c r="S55" s="707">
        <v>0</v>
      </c>
      <c r="T55" s="801"/>
      <c r="U55" s="801"/>
      <c r="V55" s="801"/>
      <c r="W55" s="348"/>
      <c r="X55" s="1531"/>
      <c r="Y55" s="431" t="s">
        <v>73</v>
      </c>
      <c r="Z55" s="687"/>
      <c r="AA55" s="687"/>
      <c r="AB55" s="687"/>
      <c r="AC55" s="686">
        <v>8</v>
      </c>
      <c r="AD55" s="1085">
        <v>8</v>
      </c>
      <c r="AE55" s="1477">
        <v>240</v>
      </c>
      <c r="AF55" s="1477"/>
      <c r="AG55" s="684">
        <v>0</v>
      </c>
      <c r="AH55" s="684">
        <v>0</v>
      </c>
      <c r="AI55" s="684">
        <v>0</v>
      </c>
      <c r="AJ55" s="684">
        <v>0</v>
      </c>
      <c r="AK55" s="1477" t="s">
        <v>16</v>
      </c>
      <c r="AL55" s="1477"/>
      <c r="AM55" s="1467">
        <v>63.44</v>
      </c>
      <c r="AN55" s="1468"/>
      <c r="AO55" s="707">
        <v>0</v>
      </c>
      <c r="AP55" s="801"/>
      <c r="AQ55" s="801"/>
      <c r="AR55" s="801"/>
      <c r="AS55" s="348"/>
      <c r="AT55" s="1146"/>
      <c r="AY55" s="748">
        <v>11</v>
      </c>
      <c r="AZ55" s="1352">
        <v>180</v>
      </c>
      <c r="BA55" s="1352">
        <v>60</v>
      </c>
      <c r="BB55" s="1359" t="s">
        <v>24</v>
      </c>
      <c r="BC55" s="1225" t="s">
        <v>392</v>
      </c>
      <c r="BD55" s="1354"/>
      <c r="BE55" s="1376">
        <f>Q82</f>
        <v>71.13</v>
      </c>
      <c r="BF55" s="1376">
        <f>AM82</f>
        <v>64.7</v>
      </c>
    </row>
    <row r="56" spans="1:64" ht="15.6" customHeight="1" x14ac:dyDescent="0.25">
      <c r="A56" s="1146"/>
      <c r="B56" s="1531"/>
      <c r="C56" s="431" t="s">
        <v>101</v>
      </c>
      <c r="D56" s="687"/>
      <c r="E56" s="687"/>
      <c r="F56" s="687"/>
      <c r="G56" s="686">
        <v>9</v>
      </c>
      <c r="H56" s="1085">
        <v>14</v>
      </c>
      <c r="I56" s="1477">
        <v>240</v>
      </c>
      <c r="J56" s="1477"/>
      <c r="K56" s="684">
        <v>0</v>
      </c>
      <c r="L56" s="684">
        <v>0</v>
      </c>
      <c r="M56" s="684">
        <v>0</v>
      </c>
      <c r="N56" s="684">
        <v>0</v>
      </c>
      <c r="O56" s="1477" t="s">
        <v>18</v>
      </c>
      <c r="P56" s="1477"/>
      <c r="Q56" s="1467">
        <v>65.23</v>
      </c>
      <c r="R56" s="1468"/>
      <c r="S56" s="707">
        <v>0</v>
      </c>
      <c r="T56" s="801"/>
      <c r="U56" s="801"/>
      <c r="V56" s="801"/>
      <c r="W56" s="1096"/>
      <c r="X56" s="1531"/>
      <c r="Y56" s="431" t="s">
        <v>101</v>
      </c>
      <c r="Z56" s="687"/>
      <c r="AA56" s="687"/>
      <c r="AB56" s="687"/>
      <c r="AC56" s="686">
        <v>9</v>
      </c>
      <c r="AD56" s="1085">
        <v>14</v>
      </c>
      <c r="AE56" s="1477">
        <v>240</v>
      </c>
      <c r="AF56" s="1477"/>
      <c r="AG56" s="684">
        <v>0</v>
      </c>
      <c r="AH56" s="684">
        <v>0</v>
      </c>
      <c r="AI56" s="684">
        <v>0</v>
      </c>
      <c r="AJ56" s="684">
        <v>0</v>
      </c>
      <c r="AK56" s="1477" t="s">
        <v>18</v>
      </c>
      <c r="AL56" s="1477"/>
      <c r="AM56" s="1467">
        <v>63.68</v>
      </c>
      <c r="AN56" s="1468"/>
      <c r="AO56" s="707">
        <v>0</v>
      </c>
      <c r="AP56" s="801"/>
      <c r="AQ56" s="801"/>
      <c r="AR56" s="801"/>
      <c r="AS56" s="1096"/>
      <c r="AT56" s="1146"/>
      <c r="AY56" s="748">
        <v>12</v>
      </c>
      <c r="AZ56" s="1352">
        <v>160</v>
      </c>
      <c r="BA56" s="1352">
        <f>$AJ$84</f>
        <v>80</v>
      </c>
      <c r="BB56" s="1359" t="str">
        <f>AK83</f>
        <v>50 - 50</v>
      </c>
      <c r="BC56" s="704" t="s">
        <v>925</v>
      </c>
      <c r="BD56" s="1354"/>
      <c r="BE56" s="1376">
        <f>Q83</f>
        <v>76.78</v>
      </c>
      <c r="BF56" s="1376">
        <f>AM83</f>
        <v>66.56</v>
      </c>
    </row>
    <row r="57" spans="1:64" ht="15.6" customHeight="1" x14ac:dyDescent="0.25">
      <c r="A57" s="1146"/>
      <c r="B57" s="1531"/>
      <c r="C57" s="431" t="s">
        <v>150</v>
      </c>
      <c r="D57" s="687"/>
      <c r="E57" s="687"/>
      <c r="F57" s="687"/>
      <c r="G57" s="686">
        <v>10</v>
      </c>
      <c r="H57" s="1085">
        <v>1</v>
      </c>
      <c r="I57" s="1477">
        <v>240</v>
      </c>
      <c r="J57" s="1477"/>
      <c r="K57" s="684">
        <v>0</v>
      </c>
      <c r="L57" s="684">
        <v>0</v>
      </c>
      <c r="M57" s="684">
        <v>0</v>
      </c>
      <c r="N57" s="684">
        <v>0</v>
      </c>
      <c r="O57" s="1477" t="s">
        <v>19</v>
      </c>
      <c r="P57" s="1477"/>
      <c r="Q57" s="1467">
        <v>66.12</v>
      </c>
      <c r="R57" s="1468"/>
      <c r="S57" s="707">
        <v>0</v>
      </c>
      <c r="T57" s="1483" t="s">
        <v>998</v>
      </c>
      <c r="U57" s="1484"/>
      <c r="V57" s="1484"/>
      <c r="W57" s="1096"/>
      <c r="X57" s="1531"/>
      <c r="Y57" s="431" t="s">
        <v>150</v>
      </c>
      <c r="Z57" s="687"/>
      <c r="AA57" s="687"/>
      <c r="AB57" s="687"/>
      <c r="AC57" s="686">
        <v>10</v>
      </c>
      <c r="AD57" s="1085">
        <v>1</v>
      </c>
      <c r="AE57" s="1477">
        <v>240</v>
      </c>
      <c r="AF57" s="1477"/>
      <c r="AG57" s="684">
        <v>0</v>
      </c>
      <c r="AH57" s="684">
        <v>0</v>
      </c>
      <c r="AI57" s="684">
        <v>0</v>
      </c>
      <c r="AJ57" s="684">
        <v>0</v>
      </c>
      <c r="AK57" s="1477" t="s">
        <v>19</v>
      </c>
      <c r="AL57" s="1477"/>
      <c r="AM57" s="1467">
        <v>63.8</v>
      </c>
      <c r="AN57" s="1468"/>
      <c r="AO57" s="707">
        <v>0</v>
      </c>
      <c r="AP57" s="1483" t="s">
        <v>998</v>
      </c>
      <c r="AQ57" s="1484"/>
      <c r="AR57" s="1484"/>
      <c r="AS57" s="1096"/>
      <c r="AT57" s="1146"/>
      <c r="AY57" s="1347" t="s">
        <v>1306</v>
      </c>
      <c r="AZ57" s="1348"/>
      <c r="BA57" s="1348"/>
      <c r="BB57" s="1349"/>
      <c r="BC57" s="1350"/>
      <c r="BD57" s="1351"/>
      <c r="BE57" s="826"/>
      <c r="BF57" s="826"/>
    </row>
    <row r="58" spans="1:64" ht="15.6" customHeight="1" x14ac:dyDescent="0.25">
      <c r="A58" s="1146"/>
      <c r="B58" s="1531"/>
      <c r="C58" s="431" t="s">
        <v>153</v>
      </c>
      <c r="D58" s="687"/>
      <c r="E58" s="687"/>
      <c r="F58" s="687"/>
      <c r="G58" s="686">
        <v>11</v>
      </c>
      <c r="H58" s="1085">
        <v>14</v>
      </c>
      <c r="I58" s="1477">
        <v>240</v>
      </c>
      <c r="J58" s="1477"/>
      <c r="K58" s="684">
        <v>0</v>
      </c>
      <c r="L58" s="684">
        <v>0</v>
      </c>
      <c r="M58" s="684">
        <v>0</v>
      </c>
      <c r="N58" s="684">
        <v>0</v>
      </c>
      <c r="O58" s="1477" t="s">
        <v>20</v>
      </c>
      <c r="P58" s="1477"/>
      <c r="Q58" s="1467">
        <v>66.48</v>
      </c>
      <c r="R58" s="1468"/>
      <c r="S58" s="707">
        <v>0</v>
      </c>
      <c r="T58" s="1483" t="s">
        <v>1295</v>
      </c>
      <c r="U58" s="1484"/>
      <c r="V58" s="1484"/>
      <c r="W58" s="1096"/>
      <c r="X58" s="1531"/>
      <c r="Y58" s="431" t="s">
        <v>153</v>
      </c>
      <c r="Z58" s="687"/>
      <c r="AA58" s="687"/>
      <c r="AB58" s="687"/>
      <c r="AC58" s="686">
        <v>11</v>
      </c>
      <c r="AD58" s="1085">
        <v>14</v>
      </c>
      <c r="AE58" s="1477">
        <v>240</v>
      </c>
      <c r="AF58" s="1477"/>
      <c r="AG58" s="684">
        <v>0</v>
      </c>
      <c r="AH58" s="684">
        <v>0</v>
      </c>
      <c r="AI58" s="684">
        <v>0</v>
      </c>
      <c r="AJ58" s="684">
        <v>0</v>
      </c>
      <c r="AK58" s="1477" t="s">
        <v>20</v>
      </c>
      <c r="AL58" s="1477"/>
      <c r="AM58" s="1467">
        <v>63.84</v>
      </c>
      <c r="AN58" s="1468"/>
      <c r="AO58" s="707">
        <v>0</v>
      </c>
      <c r="AP58" s="1483" t="s">
        <v>1295</v>
      </c>
      <c r="AQ58" s="1484"/>
      <c r="AR58" s="1484"/>
      <c r="AS58" s="1096"/>
      <c r="AT58" s="1146"/>
      <c r="AY58" s="748">
        <v>13</v>
      </c>
      <c r="AZ58" s="1352">
        <v>120</v>
      </c>
      <c r="BA58" s="1353">
        <v>0</v>
      </c>
      <c r="BB58" s="1359"/>
      <c r="BC58" s="1524" t="s">
        <v>971</v>
      </c>
      <c r="BD58" s="1525"/>
      <c r="BE58" s="1376">
        <f>Q87</f>
        <v>72.38</v>
      </c>
      <c r="BF58" s="1376">
        <f>AM87</f>
        <v>64.63</v>
      </c>
    </row>
    <row r="59" spans="1:64" ht="15.6" customHeight="1" x14ac:dyDescent="0.25">
      <c r="A59" s="1146"/>
      <c r="B59" s="1531"/>
      <c r="C59" s="431" t="s">
        <v>197</v>
      </c>
      <c r="D59" s="687"/>
      <c r="E59" s="687"/>
      <c r="F59" s="687"/>
      <c r="G59" s="686">
        <v>12</v>
      </c>
      <c r="H59" s="1085">
        <v>1</v>
      </c>
      <c r="I59" s="1477">
        <v>240</v>
      </c>
      <c r="J59" s="1477"/>
      <c r="K59" s="684">
        <v>0</v>
      </c>
      <c r="L59" s="684">
        <v>0</v>
      </c>
      <c r="M59" s="684">
        <v>0</v>
      </c>
      <c r="N59" s="684">
        <v>0</v>
      </c>
      <c r="O59" s="1477" t="s">
        <v>21</v>
      </c>
      <c r="P59" s="1477"/>
      <c r="Q59" s="1467">
        <v>66.66</v>
      </c>
      <c r="R59" s="1468"/>
      <c r="S59" s="707">
        <v>0</v>
      </c>
      <c r="T59" s="706"/>
      <c r="U59" s="786" t="s">
        <v>999</v>
      </c>
      <c r="V59" s="785">
        <v>76.78</v>
      </c>
      <c r="W59" s="1096"/>
      <c r="X59" s="1531"/>
      <c r="Y59" s="431" t="s">
        <v>197</v>
      </c>
      <c r="Z59" s="687"/>
      <c r="AA59" s="687"/>
      <c r="AB59" s="687"/>
      <c r="AC59" s="686">
        <v>12</v>
      </c>
      <c r="AD59" s="1085">
        <v>1</v>
      </c>
      <c r="AE59" s="1477">
        <v>240</v>
      </c>
      <c r="AF59" s="1477"/>
      <c r="AG59" s="684">
        <v>0</v>
      </c>
      <c r="AH59" s="684">
        <v>0</v>
      </c>
      <c r="AI59" s="684">
        <v>0</v>
      </c>
      <c r="AJ59" s="684">
        <v>0</v>
      </c>
      <c r="AK59" s="1477" t="s">
        <v>21</v>
      </c>
      <c r="AL59" s="1477"/>
      <c r="AM59" s="1467">
        <v>63.87</v>
      </c>
      <c r="AN59" s="1468"/>
      <c r="AO59" s="707">
        <v>0</v>
      </c>
      <c r="AP59" s="706"/>
      <c r="AQ59" s="786" t="s">
        <v>999</v>
      </c>
      <c r="AR59" s="785">
        <v>66.56</v>
      </c>
      <c r="AS59" s="1096"/>
      <c r="AT59" s="1146"/>
      <c r="AY59" s="731">
        <v>14</v>
      </c>
      <c r="AZ59" s="1355">
        <v>100</v>
      </c>
      <c r="BA59" s="1355">
        <v>20</v>
      </c>
      <c r="BB59" s="1355"/>
      <c r="BC59" s="1526" t="s">
        <v>447</v>
      </c>
      <c r="BD59" s="1527"/>
      <c r="BE59" s="1376">
        <f>Q88</f>
        <v>73.650000000000006</v>
      </c>
      <c r="BF59" s="1376">
        <f>AM88</f>
        <v>64.95</v>
      </c>
    </row>
    <row r="60" spans="1:64" ht="15.6" customHeight="1" x14ac:dyDescent="0.25">
      <c r="A60" s="1146"/>
      <c r="B60" s="1531"/>
      <c r="C60" s="431" t="s">
        <v>219</v>
      </c>
      <c r="D60" s="687"/>
      <c r="E60" s="687"/>
      <c r="F60" s="687"/>
      <c r="G60" s="686">
        <v>13</v>
      </c>
      <c r="H60" s="1085">
        <v>11</v>
      </c>
      <c r="I60" s="1477">
        <v>240</v>
      </c>
      <c r="J60" s="1477"/>
      <c r="K60" s="684">
        <v>0</v>
      </c>
      <c r="L60" s="684">
        <v>0</v>
      </c>
      <c r="M60" s="684">
        <v>0</v>
      </c>
      <c r="N60" s="684">
        <v>0</v>
      </c>
      <c r="O60" s="1477" t="s">
        <v>22</v>
      </c>
      <c r="P60" s="1477"/>
      <c r="Q60" s="1467">
        <v>67.02</v>
      </c>
      <c r="R60" s="1468"/>
      <c r="S60" s="707">
        <v>0</v>
      </c>
      <c r="T60" s="706"/>
      <c r="U60" s="786" t="s">
        <v>1000</v>
      </c>
      <c r="V60" s="785">
        <v>63.44</v>
      </c>
      <c r="W60" s="1096"/>
      <c r="X60" s="1531"/>
      <c r="Y60" s="431" t="s">
        <v>219</v>
      </c>
      <c r="Z60" s="687"/>
      <c r="AA60" s="687"/>
      <c r="AB60" s="687"/>
      <c r="AC60" s="686">
        <v>13</v>
      </c>
      <c r="AD60" s="1085">
        <v>11</v>
      </c>
      <c r="AE60" s="1477">
        <v>240</v>
      </c>
      <c r="AF60" s="1477"/>
      <c r="AG60" s="684">
        <v>0</v>
      </c>
      <c r="AH60" s="684">
        <v>0</v>
      </c>
      <c r="AI60" s="684">
        <v>0</v>
      </c>
      <c r="AJ60" s="684">
        <v>0</v>
      </c>
      <c r="AK60" s="1477" t="s">
        <v>22</v>
      </c>
      <c r="AL60" s="1477"/>
      <c r="AM60" s="1467">
        <v>63.92</v>
      </c>
      <c r="AN60" s="1468"/>
      <c r="AO60" s="707">
        <v>0</v>
      </c>
      <c r="AP60" s="706"/>
      <c r="AQ60" s="786" t="s">
        <v>1000</v>
      </c>
      <c r="AR60" s="785">
        <v>63.44</v>
      </c>
      <c r="AS60" s="1096"/>
      <c r="AT60" s="1146"/>
      <c r="AU60" s="1039"/>
      <c r="AY60" s="743"/>
      <c r="AZ60" s="1348"/>
      <c r="BA60" s="1348"/>
      <c r="BB60" s="1348"/>
      <c r="BC60" s="1350"/>
      <c r="BD60" s="1360" t="s">
        <v>1307</v>
      </c>
      <c r="BE60" s="826"/>
      <c r="BF60" s="826"/>
    </row>
    <row r="61" spans="1:64" ht="15.6" customHeight="1" x14ac:dyDescent="0.25">
      <c r="A61" s="1147"/>
      <c r="B61" s="1531"/>
      <c r="C61" s="431" t="s">
        <v>257</v>
      </c>
      <c r="D61" s="687"/>
      <c r="E61" s="687"/>
      <c r="F61" s="687"/>
      <c r="G61" s="686">
        <v>14</v>
      </c>
      <c r="H61" s="1085">
        <v>12</v>
      </c>
      <c r="I61" s="1477">
        <v>240</v>
      </c>
      <c r="J61" s="1477"/>
      <c r="K61" s="684">
        <v>0</v>
      </c>
      <c r="L61" s="684">
        <v>0</v>
      </c>
      <c r="M61" s="684">
        <v>0</v>
      </c>
      <c r="N61" s="684">
        <v>0</v>
      </c>
      <c r="O61" s="1477" t="s">
        <v>23</v>
      </c>
      <c r="P61" s="1477"/>
      <c r="Q61" s="1467">
        <v>67.91</v>
      </c>
      <c r="R61" s="1468"/>
      <c r="S61" s="707">
        <v>0</v>
      </c>
      <c r="T61" s="706"/>
      <c r="U61" s="786" t="s">
        <v>1001</v>
      </c>
      <c r="V61" s="787">
        <v>13.340000000000003</v>
      </c>
      <c r="W61" s="1096"/>
      <c r="X61" s="1531"/>
      <c r="Y61" s="431" t="s">
        <v>257</v>
      </c>
      <c r="Z61" s="687"/>
      <c r="AA61" s="687"/>
      <c r="AB61" s="687"/>
      <c r="AC61" s="686">
        <v>14</v>
      </c>
      <c r="AD61" s="1085">
        <v>12</v>
      </c>
      <c r="AE61" s="1477">
        <v>240</v>
      </c>
      <c r="AF61" s="1477"/>
      <c r="AG61" s="684">
        <v>0</v>
      </c>
      <c r="AH61" s="684">
        <v>0</v>
      </c>
      <c r="AI61" s="684">
        <v>0</v>
      </c>
      <c r="AJ61" s="684">
        <v>0</v>
      </c>
      <c r="AK61" s="1477" t="s">
        <v>23</v>
      </c>
      <c r="AL61" s="1477"/>
      <c r="AM61" s="1467">
        <v>64.040000000000006</v>
      </c>
      <c r="AN61" s="1468"/>
      <c r="AO61" s="707">
        <v>0</v>
      </c>
      <c r="AP61" s="706"/>
      <c r="AQ61" s="786" t="s">
        <v>1001</v>
      </c>
      <c r="AR61" s="787">
        <v>3.1200000000000045</v>
      </c>
      <c r="AS61" s="1096"/>
      <c r="AT61" s="1147"/>
      <c r="BE61" s="1376">
        <f>MAX(BE44:BE59)</f>
        <v>76.78</v>
      </c>
      <c r="BF61" s="1376">
        <f>MAX(BF44:BF59)</f>
        <v>66.56</v>
      </c>
    </row>
    <row r="62" spans="1:64" ht="15.6" customHeight="1" x14ac:dyDescent="0.25">
      <c r="A62" s="1148"/>
      <c r="B62" s="1531"/>
      <c r="C62" s="431" t="s">
        <v>270</v>
      </c>
      <c r="D62" s="687"/>
      <c r="E62" s="687"/>
      <c r="F62" s="687"/>
      <c r="G62" s="686">
        <v>15</v>
      </c>
      <c r="H62" s="1085">
        <v>3</v>
      </c>
      <c r="I62" s="1477">
        <v>240</v>
      </c>
      <c r="J62" s="1477"/>
      <c r="K62" s="684">
        <v>0</v>
      </c>
      <c r="L62" s="684">
        <v>0</v>
      </c>
      <c r="M62" s="684">
        <v>0</v>
      </c>
      <c r="N62" s="684">
        <v>0</v>
      </c>
      <c r="O62" s="1477" t="s">
        <v>24</v>
      </c>
      <c r="P62" s="1477"/>
      <c r="Q62" s="1467">
        <v>68.8</v>
      </c>
      <c r="R62" s="1468"/>
      <c r="S62" s="707" t="s">
        <v>32</v>
      </c>
      <c r="T62" s="706"/>
      <c r="U62" s="786" t="s">
        <v>1002</v>
      </c>
      <c r="V62" s="785">
        <v>67.849999999999994</v>
      </c>
      <c r="W62" s="1096"/>
      <c r="X62" s="1531"/>
      <c r="Y62" s="431" t="s">
        <v>270</v>
      </c>
      <c r="Z62" s="687"/>
      <c r="AA62" s="687"/>
      <c r="AB62" s="687"/>
      <c r="AC62" s="686">
        <v>15</v>
      </c>
      <c r="AD62" s="1085">
        <v>3</v>
      </c>
      <c r="AE62" s="1477">
        <v>240</v>
      </c>
      <c r="AF62" s="1477"/>
      <c r="AG62" s="684">
        <v>0</v>
      </c>
      <c r="AH62" s="684">
        <v>0</v>
      </c>
      <c r="AI62" s="684">
        <v>0</v>
      </c>
      <c r="AJ62" s="684">
        <v>0</v>
      </c>
      <c r="AK62" s="1477" t="s">
        <v>24</v>
      </c>
      <c r="AL62" s="1477"/>
      <c r="AM62" s="1467">
        <v>64.150000000000006</v>
      </c>
      <c r="AN62" s="1468"/>
      <c r="AO62" s="707">
        <v>0</v>
      </c>
      <c r="AP62" s="706"/>
      <c r="AQ62" s="786" t="s">
        <v>1002</v>
      </c>
      <c r="AR62" s="785">
        <v>64.12</v>
      </c>
      <c r="AS62" s="1096"/>
      <c r="AT62" s="1148"/>
      <c r="BE62" s="1376">
        <f>MIN(BE44:BE59)</f>
        <v>63.44</v>
      </c>
      <c r="BF62" s="1376">
        <f>MIN(BF44:BF59)</f>
        <v>63.44</v>
      </c>
    </row>
    <row r="63" spans="1:64" ht="15.6" customHeight="1" x14ac:dyDescent="0.25">
      <c r="A63" s="1148"/>
      <c r="B63" s="1531"/>
      <c r="C63" s="431" t="s">
        <v>1052</v>
      </c>
      <c r="D63" s="687"/>
      <c r="E63" s="687"/>
      <c r="F63" s="687"/>
      <c r="G63" s="686">
        <v>17</v>
      </c>
      <c r="H63" s="1085">
        <v>1</v>
      </c>
      <c r="I63" s="1477">
        <v>220</v>
      </c>
      <c r="J63" s="1477"/>
      <c r="K63" s="684">
        <v>0</v>
      </c>
      <c r="L63" s="684">
        <v>0</v>
      </c>
      <c r="M63" s="684">
        <v>0</v>
      </c>
      <c r="N63" s="684">
        <v>20</v>
      </c>
      <c r="O63" s="1477" t="s">
        <v>20</v>
      </c>
      <c r="P63" s="1477"/>
      <c r="Q63" s="1467">
        <v>67.33</v>
      </c>
      <c r="R63" s="1468"/>
      <c r="S63" s="707">
        <v>0</v>
      </c>
      <c r="T63" s="706"/>
      <c r="U63" s="786" t="s">
        <v>1003</v>
      </c>
      <c r="V63" s="785">
        <v>67.680000000000007</v>
      </c>
      <c r="W63" s="1096"/>
      <c r="X63" s="1531"/>
      <c r="Y63" s="431" t="s">
        <v>1052</v>
      </c>
      <c r="Z63" s="687"/>
      <c r="AA63" s="687"/>
      <c r="AB63" s="687"/>
      <c r="AC63" s="686">
        <v>17</v>
      </c>
      <c r="AD63" s="1085">
        <v>1</v>
      </c>
      <c r="AE63" s="1477">
        <v>220</v>
      </c>
      <c r="AF63" s="1477"/>
      <c r="AG63" s="684">
        <v>0</v>
      </c>
      <c r="AH63" s="684">
        <v>0</v>
      </c>
      <c r="AI63" s="684">
        <v>0</v>
      </c>
      <c r="AJ63" s="684">
        <v>20</v>
      </c>
      <c r="AK63" s="1477" t="s">
        <v>20</v>
      </c>
      <c r="AL63" s="1477"/>
      <c r="AM63" s="1467">
        <v>64.06</v>
      </c>
      <c r="AN63" s="1468"/>
      <c r="AO63" s="707">
        <v>0</v>
      </c>
      <c r="AP63" s="706"/>
      <c r="AQ63" s="786" t="s">
        <v>1003</v>
      </c>
      <c r="AR63" s="785">
        <v>64.040000000000006</v>
      </c>
      <c r="AS63" s="1096"/>
      <c r="AT63" s="1148"/>
      <c r="BE63" s="1376">
        <f>BE61-BE62</f>
        <v>13.340000000000003</v>
      </c>
      <c r="BF63" s="1376">
        <f>BF61-BF62</f>
        <v>3.1200000000000045</v>
      </c>
    </row>
    <row r="64" spans="1:64" ht="15.6" customHeight="1" x14ac:dyDescent="0.25">
      <c r="A64" s="1146"/>
      <c r="B64" s="1531"/>
      <c r="C64" s="431" t="s">
        <v>1050</v>
      </c>
      <c r="D64" s="687"/>
      <c r="E64" s="687"/>
      <c r="F64" s="687"/>
      <c r="G64" s="686">
        <v>18</v>
      </c>
      <c r="H64" s="1085">
        <v>1</v>
      </c>
      <c r="I64" s="1477">
        <v>210</v>
      </c>
      <c r="J64" s="1477"/>
      <c r="K64" s="684">
        <v>0</v>
      </c>
      <c r="L64" s="684">
        <v>0</v>
      </c>
      <c r="M64" s="684">
        <v>0</v>
      </c>
      <c r="N64" s="684">
        <v>30</v>
      </c>
      <c r="O64" s="1477" t="s">
        <v>16</v>
      </c>
      <c r="P64" s="1477"/>
      <c r="Q64" s="1467">
        <v>73.44</v>
      </c>
      <c r="R64" s="1468"/>
      <c r="S64" s="707">
        <v>0</v>
      </c>
      <c r="T64" s="1481" t="s">
        <v>1005</v>
      </c>
      <c r="U64" s="1482"/>
      <c r="V64" s="40">
        <v>8</v>
      </c>
      <c r="W64" s="1096"/>
      <c r="X64" s="1531"/>
      <c r="Y64" s="431" t="s">
        <v>1050</v>
      </c>
      <c r="Z64" s="687"/>
      <c r="AA64" s="687"/>
      <c r="AB64" s="687"/>
      <c r="AC64" s="686">
        <v>18</v>
      </c>
      <c r="AD64" s="1085">
        <v>1</v>
      </c>
      <c r="AE64" s="1477">
        <v>210</v>
      </c>
      <c r="AF64" s="1477"/>
      <c r="AG64" s="684">
        <v>0</v>
      </c>
      <c r="AH64" s="684">
        <v>0</v>
      </c>
      <c r="AI64" s="684">
        <v>0</v>
      </c>
      <c r="AJ64" s="684">
        <v>30</v>
      </c>
      <c r="AK64" s="1477" t="s">
        <v>16</v>
      </c>
      <c r="AL64" s="1477"/>
      <c r="AM64" s="1467">
        <v>64.900000000000006</v>
      </c>
      <c r="AN64" s="1468"/>
      <c r="AO64" s="707">
        <v>0</v>
      </c>
      <c r="AP64" s="1481" t="s">
        <v>1005</v>
      </c>
      <c r="AQ64" s="1482"/>
      <c r="AR64" s="40">
        <v>0</v>
      </c>
      <c r="AS64" s="1096"/>
      <c r="AT64" s="1146"/>
      <c r="BL64" s="3">
        <v>1</v>
      </c>
    </row>
    <row r="65" spans="1:47" ht="15.6" customHeight="1" x14ac:dyDescent="0.25">
      <c r="A65" s="1146"/>
      <c r="B65" s="1531"/>
      <c r="C65" s="431" t="s">
        <v>141</v>
      </c>
      <c r="D65" s="687"/>
      <c r="E65" s="687"/>
      <c r="F65" s="687"/>
      <c r="G65" s="685">
        <v>19</v>
      </c>
      <c r="H65" s="1084">
        <v>1</v>
      </c>
      <c r="I65" s="1477">
        <v>240</v>
      </c>
      <c r="J65" s="1477"/>
      <c r="K65" s="684">
        <v>0</v>
      </c>
      <c r="L65" s="684">
        <v>0</v>
      </c>
      <c r="M65" s="684">
        <v>30</v>
      </c>
      <c r="N65" s="684">
        <v>30</v>
      </c>
      <c r="O65" s="1466" t="s">
        <v>1128</v>
      </c>
      <c r="P65" s="1466"/>
      <c r="Q65" s="1467">
        <v>67.77</v>
      </c>
      <c r="R65" s="1468"/>
      <c r="S65" s="707">
        <v>0</v>
      </c>
      <c r="T65" s="706"/>
      <c r="U65" s="706"/>
      <c r="V65" s="706"/>
      <c r="W65" s="1096"/>
      <c r="X65" s="1531"/>
      <c r="Y65" s="431" t="s">
        <v>141</v>
      </c>
      <c r="Z65" s="687"/>
      <c r="AA65" s="687"/>
      <c r="AB65" s="687"/>
      <c r="AC65" s="685">
        <v>19</v>
      </c>
      <c r="AD65" s="1084">
        <v>1</v>
      </c>
      <c r="AE65" s="1477">
        <v>240</v>
      </c>
      <c r="AF65" s="1477"/>
      <c r="AG65" s="684">
        <v>0</v>
      </c>
      <c r="AH65" s="684">
        <v>0</v>
      </c>
      <c r="AI65" s="684">
        <v>30</v>
      </c>
      <c r="AJ65" s="684">
        <v>30</v>
      </c>
      <c r="AK65" s="1466" t="s">
        <v>1128</v>
      </c>
      <c r="AL65" s="1466"/>
      <c r="AM65" s="1467">
        <v>64.23</v>
      </c>
      <c r="AN65" s="1468"/>
      <c r="AO65" s="707">
        <v>0</v>
      </c>
      <c r="AP65" s="706"/>
      <c r="AQ65" s="706"/>
      <c r="AR65" s="706"/>
      <c r="AS65" s="1096"/>
      <c r="AT65" s="1146"/>
      <c r="AU65" s="1097"/>
    </row>
    <row r="66" spans="1:47" ht="15.6" customHeight="1" x14ac:dyDescent="0.25">
      <c r="A66" s="1145"/>
      <c r="B66" s="1531"/>
      <c r="C66" s="431" t="s">
        <v>295</v>
      </c>
      <c r="D66" s="687"/>
      <c r="E66" s="687"/>
      <c r="F66" s="687"/>
      <c r="G66" s="686">
        <v>20</v>
      </c>
      <c r="H66" s="1085">
        <v>1</v>
      </c>
      <c r="I66" s="1477">
        <v>210</v>
      </c>
      <c r="J66" s="1477"/>
      <c r="K66" s="684">
        <v>0</v>
      </c>
      <c r="L66" s="684">
        <v>15</v>
      </c>
      <c r="M66" s="684">
        <v>15</v>
      </c>
      <c r="N66" s="684">
        <v>30</v>
      </c>
      <c r="O66" s="1477" t="s">
        <v>23</v>
      </c>
      <c r="P66" s="1477"/>
      <c r="Q66" s="1467">
        <v>69</v>
      </c>
      <c r="R66" s="1468"/>
      <c r="S66" s="707" t="s">
        <v>32</v>
      </c>
      <c r="T66" s="706"/>
      <c r="U66" s="706"/>
      <c r="V66" s="706"/>
      <c r="W66" s="1096"/>
      <c r="X66" s="1531"/>
      <c r="Y66" s="431" t="s">
        <v>295</v>
      </c>
      <c r="Z66" s="687"/>
      <c r="AA66" s="687"/>
      <c r="AB66" s="687"/>
      <c r="AC66" s="686">
        <v>20</v>
      </c>
      <c r="AD66" s="1085">
        <v>1</v>
      </c>
      <c r="AE66" s="1477">
        <v>210</v>
      </c>
      <c r="AF66" s="1477"/>
      <c r="AG66" s="684">
        <v>0</v>
      </c>
      <c r="AH66" s="684">
        <v>15</v>
      </c>
      <c r="AI66" s="684">
        <v>15</v>
      </c>
      <c r="AJ66" s="684">
        <v>30</v>
      </c>
      <c r="AK66" s="1477" t="s">
        <v>23</v>
      </c>
      <c r="AL66" s="1477"/>
      <c r="AM66" s="1467">
        <v>64.290000000000006</v>
      </c>
      <c r="AN66" s="1468"/>
      <c r="AO66" s="707">
        <v>0</v>
      </c>
      <c r="AP66" s="706"/>
      <c r="AQ66" s="706"/>
      <c r="AR66" s="706"/>
      <c r="AS66" s="1096"/>
      <c r="AT66" s="1145"/>
      <c r="AU66" s="1097"/>
    </row>
    <row r="67" spans="1:47" ht="15.6" customHeight="1" x14ac:dyDescent="0.25">
      <c r="A67" s="1146"/>
      <c r="B67" s="1531"/>
      <c r="C67" s="431" t="s">
        <v>299</v>
      </c>
      <c r="D67" s="687"/>
      <c r="E67" s="687"/>
      <c r="F67" s="687"/>
      <c r="G67" s="686">
        <v>21</v>
      </c>
      <c r="H67" s="1085">
        <v>1</v>
      </c>
      <c r="I67" s="1477">
        <v>210</v>
      </c>
      <c r="J67" s="1477"/>
      <c r="K67" s="684">
        <v>0</v>
      </c>
      <c r="L67" s="684">
        <v>0</v>
      </c>
      <c r="M67" s="684">
        <v>30</v>
      </c>
      <c r="N67" s="684">
        <v>30</v>
      </c>
      <c r="O67" s="1477" t="s">
        <v>24</v>
      </c>
      <c r="P67" s="1477"/>
      <c r="Q67" s="1467">
        <v>70.83</v>
      </c>
      <c r="R67" s="1468"/>
      <c r="S67" s="707">
        <v>0</v>
      </c>
      <c r="T67" s="706"/>
      <c r="U67" s="706"/>
      <c r="V67" s="706"/>
      <c r="W67" s="1096"/>
      <c r="X67" s="1531"/>
      <c r="Y67" s="431" t="s">
        <v>299</v>
      </c>
      <c r="Z67" s="687"/>
      <c r="AA67" s="687"/>
      <c r="AB67" s="687"/>
      <c r="AC67" s="686">
        <v>21</v>
      </c>
      <c r="AD67" s="1085">
        <v>1</v>
      </c>
      <c r="AE67" s="1477">
        <v>210</v>
      </c>
      <c r="AF67" s="1477"/>
      <c r="AG67" s="684">
        <v>0</v>
      </c>
      <c r="AH67" s="684">
        <v>0</v>
      </c>
      <c r="AI67" s="684">
        <v>30</v>
      </c>
      <c r="AJ67" s="684">
        <v>30</v>
      </c>
      <c r="AK67" s="1477" t="s">
        <v>24</v>
      </c>
      <c r="AL67" s="1477"/>
      <c r="AM67" s="1467">
        <v>64.650000000000006</v>
      </c>
      <c r="AN67" s="1468"/>
      <c r="AO67" s="707">
        <v>0</v>
      </c>
      <c r="AP67" s="706"/>
      <c r="AQ67" s="706"/>
      <c r="AR67" s="706"/>
      <c r="AS67" s="1096"/>
      <c r="AT67" s="1146"/>
      <c r="AU67" s="1097"/>
    </row>
    <row r="68" spans="1:47" ht="15.6" customHeight="1" x14ac:dyDescent="0.25">
      <c r="A68" s="1149"/>
      <c r="B68" s="1531"/>
      <c r="C68" s="431" t="s">
        <v>302</v>
      </c>
      <c r="D68" s="687"/>
      <c r="E68" s="687"/>
      <c r="F68" s="687"/>
      <c r="G68" s="686">
        <v>21</v>
      </c>
      <c r="H68" s="1085">
        <v>1</v>
      </c>
      <c r="I68" s="1477">
        <v>210</v>
      </c>
      <c r="J68" s="1477"/>
      <c r="K68" s="684">
        <v>0</v>
      </c>
      <c r="L68" s="684">
        <v>15</v>
      </c>
      <c r="M68" s="684">
        <v>15</v>
      </c>
      <c r="N68" s="684">
        <v>30</v>
      </c>
      <c r="O68" s="1477" t="s">
        <v>24</v>
      </c>
      <c r="P68" s="1477"/>
      <c r="Q68" s="1467">
        <v>69.86</v>
      </c>
      <c r="R68" s="1468"/>
      <c r="S68" s="707" t="s">
        <v>32</v>
      </c>
      <c r="T68" s="706"/>
      <c r="U68" s="706"/>
      <c r="V68" s="706"/>
      <c r="W68" s="1096"/>
      <c r="X68" s="1531"/>
      <c r="Y68" s="431" t="s">
        <v>302</v>
      </c>
      <c r="Z68" s="687"/>
      <c r="AA68" s="687"/>
      <c r="AB68" s="687"/>
      <c r="AC68" s="686">
        <v>21</v>
      </c>
      <c r="AD68" s="1085">
        <v>1</v>
      </c>
      <c r="AE68" s="1477">
        <v>210</v>
      </c>
      <c r="AF68" s="1477"/>
      <c r="AG68" s="684">
        <v>0</v>
      </c>
      <c r="AH68" s="684">
        <v>15</v>
      </c>
      <c r="AI68" s="684">
        <v>15</v>
      </c>
      <c r="AJ68" s="684">
        <v>30</v>
      </c>
      <c r="AK68" s="1477" t="s">
        <v>24</v>
      </c>
      <c r="AL68" s="1477"/>
      <c r="AM68" s="1467">
        <v>64.400000000000006</v>
      </c>
      <c r="AN68" s="1468"/>
      <c r="AO68" s="707">
        <v>0</v>
      </c>
      <c r="AP68" s="706"/>
      <c r="AQ68" s="706"/>
      <c r="AR68" s="706"/>
      <c r="AS68" s="1096"/>
      <c r="AT68" s="1149"/>
      <c r="AU68" s="1097"/>
    </row>
    <row r="69" spans="1:47" ht="15.6" customHeight="1" x14ac:dyDescent="0.25">
      <c r="A69" s="1150"/>
      <c r="B69" s="1531"/>
      <c r="C69" s="431" t="s">
        <v>306</v>
      </c>
      <c r="D69" s="687"/>
      <c r="E69" s="687"/>
      <c r="F69" s="687"/>
      <c r="G69" s="686">
        <v>22</v>
      </c>
      <c r="H69" s="1085">
        <v>3</v>
      </c>
      <c r="I69" s="1477">
        <v>200</v>
      </c>
      <c r="J69" s="1477"/>
      <c r="K69" s="684">
        <v>0</v>
      </c>
      <c r="L69" s="684">
        <v>20</v>
      </c>
      <c r="M69" s="684">
        <v>20</v>
      </c>
      <c r="N69" s="684">
        <v>40</v>
      </c>
      <c r="O69" s="1477" t="s">
        <v>18</v>
      </c>
      <c r="P69" s="1477"/>
      <c r="Q69" s="1467">
        <v>66.83</v>
      </c>
      <c r="R69" s="1468"/>
      <c r="S69" s="707">
        <v>0</v>
      </c>
      <c r="T69" s="132"/>
      <c r="U69" s="801"/>
      <c r="V69" s="801"/>
      <c r="W69" s="348"/>
      <c r="X69" s="1531"/>
      <c r="Y69" s="431" t="s">
        <v>306</v>
      </c>
      <c r="Z69" s="687"/>
      <c r="AA69" s="687"/>
      <c r="AB69" s="687"/>
      <c r="AC69" s="686">
        <v>22</v>
      </c>
      <c r="AD69" s="1085">
        <v>3</v>
      </c>
      <c r="AE69" s="1477">
        <v>200</v>
      </c>
      <c r="AF69" s="1477"/>
      <c r="AG69" s="684">
        <v>0</v>
      </c>
      <c r="AH69" s="684">
        <v>20</v>
      </c>
      <c r="AI69" s="684">
        <v>20</v>
      </c>
      <c r="AJ69" s="684">
        <v>40</v>
      </c>
      <c r="AK69" s="1477" t="s">
        <v>18</v>
      </c>
      <c r="AL69" s="1477"/>
      <c r="AM69" s="1467">
        <v>64.03</v>
      </c>
      <c r="AN69" s="1468"/>
      <c r="AO69" s="707">
        <v>0</v>
      </c>
      <c r="AP69" s="132"/>
      <c r="AQ69" s="801"/>
      <c r="AR69" s="801"/>
      <c r="AS69" s="348"/>
      <c r="AT69" s="1150"/>
      <c r="AU69" s="1097"/>
    </row>
    <row r="70" spans="1:47" ht="15.6" customHeight="1" x14ac:dyDescent="0.25">
      <c r="A70" s="1150"/>
      <c r="B70" s="1531"/>
      <c r="C70" s="431" t="s">
        <v>316</v>
      </c>
      <c r="D70" s="687"/>
      <c r="E70" s="687"/>
      <c r="F70" s="687"/>
      <c r="G70" s="686">
        <v>23</v>
      </c>
      <c r="H70" s="1085">
        <v>1</v>
      </c>
      <c r="I70" s="1477">
        <v>200</v>
      </c>
      <c r="J70" s="1477"/>
      <c r="K70" s="684">
        <v>0</v>
      </c>
      <c r="L70" s="684">
        <v>20</v>
      </c>
      <c r="M70" s="684">
        <v>20</v>
      </c>
      <c r="N70" s="684">
        <v>40</v>
      </c>
      <c r="O70" s="1477" t="s">
        <v>19</v>
      </c>
      <c r="P70" s="1477"/>
      <c r="Q70" s="1467">
        <v>67.680000000000007</v>
      </c>
      <c r="R70" s="1468"/>
      <c r="S70" s="707">
        <v>0</v>
      </c>
      <c r="T70" s="132"/>
      <c r="U70" s="801"/>
      <c r="V70" s="801"/>
      <c r="W70" s="348"/>
      <c r="X70" s="1531"/>
      <c r="Y70" s="431" t="s">
        <v>316</v>
      </c>
      <c r="Z70" s="687"/>
      <c r="AA70" s="687"/>
      <c r="AB70" s="687"/>
      <c r="AC70" s="686">
        <v>23</v>
      </c>
      <c r="AD70" s="1085">
        <v>1</v>
      </c>
      <c r="AE70" s="1477">
        <v>200</v>
      </c>
      <c r="AF70" s="1477"/>
      <c r="AG70" s="684">
        <v>0</v>
      </c>
      <c r="AH70" s="684">
        <v>20</v>
      </c>
      <c r="AI70" s="684">
        <v>20</v>
      </c>
      <c r="AJ70" s="684">
        <v>40</v>
      </c>
      <c r="AK70" s="1477" t="s">
        <v>19</v>
      </c>
      <c r="AL70" s="1477"/>
      <c r="AM70" s="1467">
        <v>64.150000000000006</v>
      </c>
      <c r="AN70" s="1468"/>
      <c r="AO70" s="707">
        <v>0</v>
      </c>
      <c r="AP70" s="132"/>
      <c r="AQ70" s="801"/>
      <c r="AR70" s="801"/>
      <c r="AS70" s="348"/>
      <c r="AT70" s="1150"/>
      <c r="AU70" s="1097"/>
    </row>
    <row r="71" spans="1:47" ht="15.6" customHeight="1" x14ac:dyDescent="0.25">
      <c r="A71" s="1150"/>
      <c r="B71" s="1531"/>
      <c r="C71" s="431" t="s">
        <v>319</v>
      </c>
      <c r="D71" s="687"/>
      <c r="E71" s="687"/>
      <c r="F71" s="687"/>
      <c r="G71" s="686">
        <v>24</v>
      </c>
      <c r="H71" s="1085">
        <v>3</v>
      </c>
      <c r="I71" s="1477">
        <v>200</v>
      </c>
      <c r="J71" s="1477"/>
      <c r="K71" s="684">
        <v>0</v>
      </c>
      <c r="L71" s="684">
        <v>20</v>
      </c>
      <c r="M71" s="684">
        <v>20</v>
      </c>
      <c r="N71" s="684">
        <v>40</v>
      </c>
      <c r="O71" s="1477" t="s">
        <v>20</v>
      </c>
      <c r="P71" s="1477"/>
      <c r="Q71" s="1467">
        <v>68.02</v>
      </c>
      <c r="R71" s="1468"/>
      <c r="S71" s="707" t="s">
        <v>32</v>
      </c>
      <c r="T71" s="55"/>
      <c r="U71" s="55"/>
      <c r="V71" s="801"/>
      <c r="W71" s="348"/>
      <c r="X71" s="1531"/>
      <c r="Y71" s="431" t="s">
        <v>319</v>
      </c>
      <c r="Z71" s="687"/>
      <c r="AA71" s="687"/>
      <c r="AB71" s="687"/>
      <c r="AC71" s="686">
        <v>24</v>
      </c>
      <c r="AD71" s="1085">
        <v>3</v>
      </c>
      <c r="AE71" s="1477">
        <v>200</v>
      </c>
      <c r="AF71" s="1477"/>
      <c r="AG71" s="684">
        <v>0</v>
      </c>
      <c r="AH71" s="684">
        <v>20</v>
      </c>
      <c r="AI71" s="684">
        <v>20</v>
      </c>
      <c r="AJ71" s="684">
        <v>40</v>
      </c>
      <c r="AK71" s="1477" t="s">
        <v>20</v>
      </c>
      <c r="AL71" s="1477"/>
      <c r="AM71" s="1467">
        <v>64.19</v>
      </c>
      <c r="AN71" s="1468"/>
      <c r="AO71" s="707">
        <v>0</v>
      </c>
      <c r="AP71" s="55"/>
      <c r="AQ71" s="55"/>
      <c r="AR71" s="801"/>
      <c r="AS71" s="348"/>
      <c r="AT71" s="1150"/>
      <c r="AU71" s="1097"/>
    </row>
    <row r="72" spans="1:47" ht="15.6" customHeight="1" x14ac:dyDescent="0.25">
      <c r="A72" s="1150"/>
      <c r="B72" s="1531"/>
      <c r="C72" s="431" t="s">
        <v>328</v>
      </c>
      <c r="D72" s="687"/>
      <c r="E72" s="687"/>
      <c r="F72" s="687"/>
      <c r="G72" s="686">
        <v>25</v>
      </c>
      <c r="H72" s="1085">
        <v>5</v>
      </c>
      <c r="I72" s="1477">
        <v>200</v>
      </c>
      <c r="J72" s="1477"/>
      <c r="K72" s="684">
        <v>0</v>
      </c>
      <c r="L72" s="684">
        <v>20</v>
      </c>
      <c r="M72" s="684">
        <v>20</v>
      </c>
      <c r="N72" s="684">
        <v>40</v>
      </c>
      <c r="O72" s="1477" t="s">
        <v>22</v>
      </c>
      <c r="P72" s="1477"/>
      <c r="Q72" s="1467">
        <v>68.540000000000006</v>
      </c>
      <c r="R72" s="1468"/>
      <c r="S72" s="707" t="s">
        <v>32</v>
      </c>
      <c r="T72" s="706"/>
      <c r="U72" s="706"/>
      <c r="V72" s="801"/>
      <c r="W72" s="348"/>
      <c r="X72" s="1531"/>
      <c r="Y72" s="431" t="s">
        <v>328</v>
      </c>
      <c r="Z72" s="687"/>
      <c r="AA72" s="687"/>
      <c r="AB72" s="687"/>
      <c r="AC72" s="686">
        <v>25</v>
      </c>
      <c r="AD72" s="1085">
        <v>5</v>
      </c>
      <c r="AE72" s="1477">
        <v>200</v>
      </c>
      <c r="AF72" s="1477"/>
      <c r="AG72" s="684">
        <v>0</v>
      </c>
      <c r="AH72" s="684">
        <v>20</v>
      </c>
      <c r="AI72" s="684">
        <v>20</v>
      </c>
      <c r="AJ72" s="684">
        <v>40</v>
      </c>
      <c r="AK72" s="1477" t="s">
        <v>22</v>
      </c>
      <c r="AL72" s="1477"/>
      <c r="AM72" s="1467">
        <v>64.260000000000005</v>
      </c>
      <c r="AN72" s="1468"/>
      <c r="AO72" s="707">
        <v>0</v>
      </c>
      <c r="AP72" s="706"/>
      <c r="AQ72" s="706"/>
      <c r="AR72" s="801"/>
      <c r="AS72" s="348"/>
      <c r="AT72" s="1150"/>
      <c r="AU72" s="1097"/>
    </row>
    <row r="73" spans="1:47" ht="15.6" customHeight="1" x14ac:dyDescent="0.25">
      <c r="A73" s="1150"/>
      <c r="B73" s="1531"/>
      <c r="C73" s="431" t="s">
        <v>357</v>
      </c>
      <c r="D73" s="687"/>
      <c r="E73" s="687"/>
      <c r="F73" s="687"/>
      <c r="G73" s="686">
        <v>26</v>
      </c>
      <c r="H73" s="1085">
        <v>2</v>
      </c>
      <c r="I73" s="1477">
        <v>200</v>
      </c>
      <c r="J73" s="1477"/>
      <c r="K73" s="684">
        <v>0</v>
      </c>
      <c r="L73" s="684">
        <v>20</v>
      </c>
      <c r="M73" s="684">
        <v>20</v>
      </c>
      <c r="N73" s="684">
        <v>40</v>
      </c>
      <c r="O73" s="1477" t="s">
        <v>23</v>
      </c>
      <c r="P73" s="1477"/>
      <c r="Q73" s="1467">
        <v>70.260000000000005</v>
      </c>
      <c r="R73" s="1468"/>
      <c r="S73" s="707">
        <v>0</v>
      </c>
      <c r="T73" s="706"/>
      <c r="U73" s="706"/>
      <c r="V73" s="801"/>
      <c r="W73" s="348"/>
      <c r="X73" s="1531"/>
      <c r="Y73" s="431" t="s">
        <v>357</v>
      </c>
      <c r="Z73" s="687"/>
      <c r="AA73" s="687"/>
      <c r="AB73" s="687"/>
      <c r="AC73" s="686">
        <v>26</v>
      </c>
      <c r="AD73" s="1085">
        <v>2</v>
      </c>
      <c r="AE73" s="1477">
        <v>200</v>
      </c>
      <c r="AF73" s="1477"/>
      <c r="AG73" s="684">
        <v>0</v>
      </c>
      <c r="AH73" s="684">
        <v>20</v>
      </c>
      <c r="AI73" s="684">
        <v>20</v>
      </c>
      <c r="AJ73" s="684">
        <v>40</v>
      </c>
      <c r="AK73" s="1477" t="s">
        <v>23</v>
      </c>
      <c r="AL73" s="1477"/>
      <c r="AM73" s="1467">
        <v>64.48</v>
      </c>
      <c r="AN73" s="1468"/>
      <c r="AO73" s="707">
        <v>0</v>
      </c>
      <c r="AP73" s="706"/>
      <c r="AQ73" s="706"/>
      <c r="AR73" s="801"/>
      <c r="AS73" s="348"/>
      <c r="AT73" s="1150"/>
      <c r="AU73" s="1097"/>
    </row>
    <row r="74" spans="1:47" ht="15.6" customHeight="1" x14ac:dyDescent="0.25">
      <c r="A74" s="1150"/>
      <c r="B74" s="1531"/>
      <c r="C74" s="431" t="s">
        <v>345</v>
      </c>
      <c r="D74" s="687"/>
      <c r="E74" s="687"/>
      <c r="F74" s="687"/>
      <c r="G74" s="686">
        <v>26</v>
      </c>
      <c r="H74" s="1085">
        <v>3</v>
      </c>
      <c r="I74" s="1477">
        <v>200</v>
      </c>
      <c r="J74" s="1477"/>
      <c r="K74" s="684"/>
      <c r="L74" s="684">
        <v>20</v>
      </c>
      <c r="M74" s="684">
        <v>20</v>
      </c>
      <c r="N74" s="684">
        <v>40</v>
      </c>
      <c r="O74" s="1477" t="s">
        <v>23</v>
      </c>
      <c r="P74" s="1477"/>
      <c r="Q74" s="1468">
        <v>69.39</v>
      </c>
      <c r="R74" s="1478"/>
      <c r="S74" s="707" t="s">
        <v>32</v>
      </c>
      <c r="T74" s="706"/>
      <c r="U74" s="706"/>
      <c r="V74" s="801"/>
      <c r="W74" s="348"/>
      <c r="X74" s="1531"/>
      <c r="Y74" s="431" t="s">
        <v>345</v>
      </c>
      <c r="Z74" s="687"/>
      <c r="AA74" s="687"/>
      <c r="AB74" s="687"/>
      <c r="AC74" s="686">
        <v>26</v>
      </c>
      <c r="AD74" s="1085">
        <v>3</v>
      </c>
      <c r="AE74" s="1477">
        <v>200</v>
      </c>
      <c r="AF74" s="1477"/>
      <c r="AG74" s="684"/>
      <c r="AH74" s="684">
        <v>20</v>
      </c>
      <c r="AI74" s="684">
        <v>20</v>
      </c>
      <c r="AJ74" s="684">
        <v>40</v>
      </c>
      <c r="AK74" s="1477" t="s">
        <v>23</v>
      </c>
      <c r="AL74" s="1477"/>
      <c r="AM74" s="1468">
        <v>64.38</v>
      </c>
      <c r="AN74" s="1478"/>
      <c r="AO74" s="707">
        <v>0</v>
      </c>
      <c r="AP74" s="706"/>
      <c r="AQ74" s="706"/>
      <c r="AR74" s="801"/>
      <c r="AS74" s="348"/>
      <c r="AT74" s="1150"/>
      <c r="AU74" s="1097"/>
    </row>
    <row r="75" spans="1:47" ht="15.6" customHeight="1" x14ac:dyDescent="0.25">
      <c r="A75" s="1150"/>
      <c r="B75" s="1531"/>
      <c r="C75" s="431" t="s">
        <v>359</v>
      </c>
      <c r="D75" s="687"/>
      <c r="E75" s="687"/>
      <c r="F75" s="687"/>
      <c r="G75" s="686">
        <v>27</v>
      </c>
      <c r="H75" s="1085">
        <v>3</v>
      </c>
      <c r="I75" s="1477">
        <v>200</v>
      </c>
      <c r="J75" s="1477"/>
      <c r="K75" s="684">
        <v>0</v>
      </c>
      <c r="L75" s="684">
        <v>20</v>
      </c>
      <c r="M75" s="684">
        <v>20</v>
      </c>
      <c r="N75" s="684">
        <v>40</v>
      </c>
      <c r="O75" s="1477" t="s">
        <v>24</v>
      </c>
      <c r="P75" s="1477"/>
      <c r="Q75" s="1467">
        <v>70.239999999999995</v>
      </c>
      <c r="R75" s="1468"/>
      <c r="S75" s="707">
        <v>0</v>
      </c>
      <c r="T75" s="706"/>
      <c r="U75" s="706"/>
      <c r="V75" s="801"/>
      <c r="W75" s="348"/>
      <c r="X75" s="1531"/>
      <c r="Y75" s="431" t="s">
        <v>359</v>
      </c>
      <c r="Z75" s="687"/>
      <c r="AA75" s="687"/>
      <c r="AB75" s="687"/>
      <c r="AC75" s="686">
        <v>27</v>
      </c>
      <c r="AD75" s="1085">
        <v>3</v>
      </c>
      <c r="AE75" s="1477">
        <v>200</v>
      </c>
      <c r="AF75" s="1477"/>
      <c r="AG75" s="684">
        <v>0</v>
      </c>
      <c r="AH75" s="684">
        <v>20</v>
      </c>
      <c r="AI75" s="684">
        <v>20</v>
      </c>
      <c r="AJ75" s="684">
        <v>40</v>
      </c>
      <c r="AK75" s="1477" t="s">
        <v>24</v>
      </c>
      <c r="AL75" s="1477"/>
      <c r="AM75" s="1467">
        <v>64.489999999999995</v>
      </c>
      <c r="AN75" s="1468"/>
      <c r="AO75" s="707">
        <v>0</v>
      </c>
      <c r="AP75" s="706"/>
      <c r="AQ75" s="706"/>
      <c r="AR75" s="801"/>
      <c r="AS75" s="348"/>
      <c r="AT75" s="1150"/>
      <c r="AU75" s="1097"/>
    </row>
    <row r="76" spans="1:47" ht="15.6" customHeight="1" x14ac:dyDescent="0.25">
      <c r="A76" s="1150"/>
      <c r="B76" s="1531"/>
      <c r="C76" s="431" t="s">
        <v>368</v>
      </c>
      <c r="D76" s="687"/>
      <c r="E76" s="687"/>
      <c r="F76" s="687"/>
      <c r="G76" s="686">
        <v>28</v>
      </c>
      <c r="H76" s="1085">
        <v>1</v>
      </c>
      <c r="I76" s="1477">
        <v>180</v>
      </c>
      <c r="J76" s="1477"/>
      <c r="K76" s="684">
        <v>0</v>
      </c>
      <c r="L76" s="684">
        <v>45</v>
      </c>
      <c r="M76" s="684">
        <v>15</v>
      </c>
      <c r="N76" s="684">
        <v>60</v>
      </c>
      <c r="O76" s="1477" t="s">
        <v>16</v>
      </c>
      <c r="P76" s="1477"/>
      <c r="Q76" s="1467">
        <v>66.239999999999995</v>
      </c>
      <c r="R76" s="1468"/>
      <c r="S76" s="707">
        <v>0</v>
      </c>
      <c r="T76" s="1364"/>
      <c r="U76" s="706"/>
      <c r="V76" s="801"/>
      <c r="W76" s="348"/>
      <c r="X76" s="1531"/>
      <c r="Y76" s="431" t="s">
        <v>368</v>
      </c>
      <c r="Z76" s="687"/>
      <c r="AA76" s="687"/>
      <c r="AB76" s="687"/>
      <c r="AC76" s="686">
        <v>28</v>
      </c>
      <c r="AD76" s="1085">
        <v>1</v>
      </c>
      <c r="AE76" s="1477">
        <v>180</v>
      </c>
      <c r="AF76" s="1477"/>
      <c r="AG76" s="684">
        <v>0</v>
      </c>
      <c r="AH76" s="684">
        <v>45</v>
      </c>
      <c r="AI76" s="684">
        <v>15</v>
      </c>
      <c r="AJ76" s="684">
        <v>60</v>
      </c>
      <c r="AK76" s="1477" t="s">
        <v>16</v>
      </c>
      <c r="AL76" s="1477"/>
      <c r="AM76" s="1467">
        <v>64.03</v>
      </c>
      <c r="AN76" s="1468"/>
      <c r="AO76" s="707">
        <v>0</v>
      </c>
      <c r="AP76" s="706"/>
      <c r="AQ76" s="706"/>
      <c r="AR76" s="801"/>
      <c r="AS76" s="348"/>
      <c r="AT76" s="1150"/>
      <c r="AU76" s="1097"/>
    </row>
    <row r="77" spans="1:47" ht="15.6" customHeight="1" x14ac:dyDescent="0.25">
      <c r="A77" s="1151"/>
      <c r="B77" s="1531"/>
      <c r="C77" s="431" t="s">
        <v>371</v>
      </c>
      <c r="D77" s="687"/>
      <c r="E77" s="687"/>
      <c r="F77" s="687"/>
      <c r="G77" s="686">
        <v>28</v>
      </c>
      <c r="H77" s="1085">
        <v>1</v>
      </c>
      <c r="I77" s="1477">
        <v>180</v>
      </c>
      <c r="J77" s="1477"/>
      <c r="K77" s="684">
        <v>0</v>
      </c>
      <c r="L77" s="684">
        <v>40</v>
      </c>
      <c r="M77" s="684">
        <v>20</v>
      </c>
      <c r="N77" s="684">
        <v>60</v>
      </c>
      <c r="O77" s="1477" t="s">
        <v>16</v>
      </c>
      <c r="P77" s="1477"/>
      <c r="Q77" s="1467">
        <v>66.14</v>
      </c>
      <c r="R77" s="1468"/>
      <c r="S77" s="707">
        <v>0</v>
      </c>
      <c r="T77" s="706"/>
      <c r="U77" s="706"/>
      <c r="V77" s="801"/>
      <c r="W77" s="348"/>
      <c r="X77" s="1531"/>
      <c r="Y77" s="431" t="s">
        <v>371</v>
      </c>
      <c r="Z77" s="687"/>
      <c r="AA77" s="687"/>
      <c r="AB77" s="687"/>
      <c r="AC77" s="686">
        <v>28</v>
      </c>
      <c r="AD77" s="1085">
        <v>1</v>
      </c>
      <c r="AE77" s="1477">
        <v>180</v>
      </c>
      <c r="AF77" s="1477"/>
      <c r="AG77" s="684">
        <v>0</v>
      </c>
      <c r="AH77" s="684">
        <v>40</v>
      </c>
      <c r="AI77" s="684">
        <v>20</v>
      </c>
      <c r="AJ77" s="684">
        <v>60</v>
      </c>
      <c r="AK77" s="1477" t="s">
        <v>16</v>
      </c>
      <c r="AL77" s="1477"/>
      <c r="AM77" s="1467">
        <v>64.010000000000005</v>
      </c>
      <c r="AN77" s="1468"/>
      <c r="AO77" s="707">
        <v>0</v>
      </c>
      <c r="AP77" s="706"/>
      <c r="AQ77" s="706"/>
      <c r="AR77" s="801"/>
      <c r="AS77" s="348"/>
      <c r="AT77" s="1151"/>
      <c r="AU77" s="1097"/>
    </row>
    <row r="78" spans="1:47" ht="15.6" customHeight="1" x14ac:dyDescent="0.25">
      <c r="A78" s="1149"/>
      <c r="B78" s="1531"/>
      <c r="C78" s="431" t="s">
        <v>375</v>
      </c>
      <c r="D78" s="687"/>
      <c r="E78" s="687"/>
      <c r="F78" s="687"/>
      <c r="G78" s="686">
        <v>28</v>
      </c>
      <c r="H78" s="1085">
        <v>1</v>
      </c>
      <c r="I78" s="1477">
        <v>180</v>
      </c>
      <c r="J78" s="1477"/>
      <c r="K78" s="684">
        <v>0</v>
      </c>
      <c r="L78" s="684">
        <v>30</v>
      </c>
      <c r="M78" s="684">
        <v>30</v>
      </c>
      <c r="N78" s="684">
        <v>60</v>
      </c>
      <c r="O78" s="1477" t="s">
        <v>16</v>
      </c>
      <c r="P78" s="1477"/>
      <c r="Q78" s="1467">
        <v>66.08</v>
      </c>
      <c r="R78" s="1468"/>
      <c r="S78" s="707">
        <v>0</v>
      </c>
      <c r="T78" s="1538"/>
      <c r="U78" s="1394"/>
      <c r="V78" s="1394"/>
      <c r="W78" s="1539"/>
      <c r="X78" s="1531"/>
      <c r="Y78" s="431" t="s">
        <v>375</v>
      </c>
      <c r="Z78" s="687"/>
      <c r="AA78" s="687"/>
      <c r="AB78" s="687"/>
      <c r="AC78" s="686">
        <v>28</v>
      </c>
      <c r="AD78" s="1085">
        <v>1</v>
      </c>
      <c r="AE78" s="1477">
        <v>180</v>
      </c>
      <c r="AF78" s="1477"/>
      <c r="AG78" s="684">
        <v>0</v>
      </c>
      <c r="AH78" s="684">
        <v>30</v>
      </c>
      <c r="AI78" s="684">
        <v>30</v>
      </c>
      <c r="AJ78" s="684">
        <v>60</v>
      </c>
      <c r="AK78" s="1477" t="s">
        <v>16</v>
      </c>
      <c r="AL78" s="1477"/>
      <c r="AM78" s="1467">
        <v>64</v>
      </c>
      <c r="AN78" s="1468"/>
      <c r="AO78" s="707">
        <v>0</v>
      </c>
      <c r="AP78" s="1538"/>
      <c r="AQ78" s="1394"/>
      <c r="AR78" s="1394"/>
      <c r="AS78" s="1539"/>
      <c r="AT78" s="1149"/>
      <c r="AU78" s="1097"/>
    </row>
    <row r="79" spans="1:47" ht="15.6" customHeight="1" x14ac:dyDescent="0.25">
      <c r="A79" s="1152"/>
      <c r="B79" s="1531"/>
      <c r="C79" s="431" t="s">
        <v>378</v>
      </c>
      <c r="D79" s="687"/>
      <c r="E79" s="687"/>
      <c r="F79" s="687"/>
      <c r="G79" s="686">
        <v>28</v>
      </c>
      <c r="H79" s="1085">
        <v>1</v>
      </c>
      <c r="I79" s="1477">
        <v>180</v>
      </c>
      <c r="J79" s="1477"/>
      <c r="K79" s="684">
        <v>0</v>
      </c>
      <c r="L79" s="684">
        <v>60</v>
      </c>
      <c r="M79" s="684">
        <v>0</v>
      </c>
      <c r="N79" s="684">
        <v>60</v>
      </c>
      <c r="O79" s="1477" t="s">
        <v>16</v>
      </c>
      <c r="P79" s="1477"/>
      <c r="Q79" s="1467">
        <v>66.19</v>
      </c>
      <c r="R79" s="1468"/>
      <c r="S79" s="707">
        <v>0</v>
      </c>
      <c r="T79" s="1538"/>
      <c r="U79" s="1394"/>
      <c r="V79" s="1394"/>
      <c r="W79" s="1539"/>
      <c r="X79" s="1531"/>
      <c r="Y79" s="431" t="s">
        <v>378</v>
      </c>
      <c r="Z79" s="687"/>
      <c r="AA79" s="687"/>
      <c r="AB79" s="687"/>
      <c r="AC79" s="686">
        <v>28</v>
      </c>
      <c r="AD79" s="1085">
        <v>1</v>
      </c>
      <c r="AE79" s="1477">
        <v>180</v>
      </c>
      <c r="AF79" s="1477"/>
      <c r="AG79" s="684">
        <v>0</v>
      </c>
      <c r="AH79" s="684">
        <v>60</v>
      </c>
      <c r="AI79" s="684">
        <v>0</v>
      </c>
      <c r="AJ79" s="684">
        <v>60</v>
      </c>
      <c r="AK79" s="1477" t="s">
        <v>16</v>
      </c>
      <c r="AL79" s="1477"/>
      <c r="AM79" s="1467">
        <v>64.19</v>
      </c>
      <c r="AN79" s="1468"/>
      <c r="AO79" s="707">
        <v>0</v>
      </c>
      <c r="AP79" s="1538"/>
      <c r="AQ79" s="1394"/>
      <c r="AR79" s="1394"/>
      <c r="AS79" s="1539"/>
      <c r="AT79" s="1152"/>
      <c r="AU79" s="1097"/>
    </row>
    <row r="80" spans="1:47" ht="15.6" customHeight="1" x14ac:dyDescent="0.25">
      <c r="A80" s="1149"/>
      <c r="B80" s="1531"/>
      <c r="C80" s="431" t="s">
        <v>1053</v>
      </c>
      <c r="D80" s="687"/>
      <c r="E80" s="687"/>
      <c r="F80" s="687"/>
      <c r="G80" s="686">
        <v>28</v>
      </c>
      <c r="H80" s="1085">
        <v>1</v>
      </c>
      <c r="I80" s="1477">
        <v>180</v>
      </c>
      <c r="J80" s="1477"/>
      <c r="K80" s="684">
        <v>0</v>
      </c>
      <c r="L80" s="684">
        <v>0</v>
      </c>
      <c r="M80" s="684">
        <v>0</v>
      </c>
      <c r="N80" s="684">
        <v>60</v>
      </c>
      <c r="O80" s="1477" t="s">
        <v>16</v>
      </c>
      <c r="P80" s="1477"/>
      <c r="Q80" s="1467">
        <v>66.83</v>
      </c>
      <c r="R80" s="1468"/>
      <c r="S80" s="707">
        <v>0</v>
      </c>
      <c r="T80" s="1538"/>
      <c r="U80" s="1394"/>
      <c r="V80" s="1394"/>
      <c r="W80" s="1539"/>
      <c r="X80" s="1531"/>
      <c r="Y80" s="431" t="s">
        <v>1053</v>
      </c>
      <c r="Z80" s="687"/>
      <c r="AA80" s="687"/>
      <c r="AB80" s="687"/>
      <c r="AC80" s="686">
        <v>28</v>
      </c>
      <c r="AD80" s="1085">
        <v>1</v>
      </c>
      <c r="AE80" s="1477">
        <v>180</v>
      </c>
      <c r="AF80" s="1477"/>
      <c r="AG80" s="684">
        <v>0</v>
      </c>
      <c r="AH80" s="684">
        <v>0</v>
      </c>
      <c r="AI80" s="684">
        <v>0</v>
      </c>
      <c r="AJ80" s="684">
        <v>60</v>
      </c>
      <c r="AK80" s="1477" t="s">
        <v>16</v>
      </c>
      <c r="AL80" s="1477"/>
      <c r="AM80" s="1467">
        <v>64.73</v>
      </c>
      <c r="AN80" s="1468"/>
      <c r="AO80" s="707">
        <v>0</v>
      </c>
      <c r="AP80" s="1538"/>
      <c r="AQ80" s="1394"/>
      <c r="AR80" s="1394"/>
      <c r="AS80" s="1539"/>
      <c r="AT80" s="1149"/>
      <c r="AU80" s="1097"/>
    </row>
    <row r="81" spans="1:47" ht="15.6" customHeight="1" x14ac:dyDescent="0.25">
      <c r="A81" s="1153"/>
      <c r="B81" s="1531"/>
      <c r="C81" s="431" t="s">
        <v>384</v>
      </c>
      <c r="D81" s="687"/>
      <c r="E81" s="687"/>
      <c r="F81" s="687"/>
      <c r="G81" s="686">
        <v>29</v>
      </c>
      <c r="H81" s="1085">
        <v>2</v>
      </c>
      <c r="I81" s="1477">
        <v>180</v>
      </c>
      <c r="J81" s="1477"/>
      <c r="K81" s="684">
        <v>0</v>
      </c>
      <c r="L81" s="684">
        <v>30</v>
      </c>
      <c r="M81" s="684">
        <v>30</v>
      </c>
      <c r="N81" s="684">
        <v>60</v>
      </c>
      <c r="O81" s="1477" t="s">
        <v>23</v>
      </c>
      <c r="P81" s="1477"/>
      <c r="Q81" s="1467">
        <v>70.290000000000006</v>
      </c>
      <c r="R81" s="1468"/>
      <c r="S81" s="707">
        <v>0</v>
      </c>
      <c r="T81" s="1538"/>
      <c r="U81" s="1394"/>
      <c r="V81" s="1394"/>
      <c r="W81" s="1539"/>
      <c r="X81" s="1531"/>
      <c r="Y81" s="431" t="s">
        <v>384</v>
      </c>
      <c r="Z81" s="687"/>
      <c r="AA81" s="687"/>
      <c r="AB81" s="687"/>
      <c r="AC81" s="686">
        <v>29</v>
      </c>
      <c r="AD81" s="1085">
        <v>2</v>
      </c>
      <c r="AE81" s="1477">
        <v>180</v>
      </c>
      <c r="AF81" s="1477"/>
      <c r="AG81" s="684">
        <v>0</v>
      </c>
      <c r="AH81" s="684">
        <v>30</v>
      </c>
      <c r="AI81" s="684">
        <v>30</v>
      </c>
      <c r="AJ81" s="684">
        <v>60</v>
      </c>
      <c r="AK81" s="1477" t="s">
        <v>23</v>
      </c>
      <c r="AL81" s="1477"/>
      <c r="AM81" s="1467">
        <v>64.58</v>
      </c>
      <c r="AN81" s="1468"/>
      <c r="AO81" s="707">
        <v>0</v>
      </c>
      <c r="AP81" s="1538"/>
      <c r="AQ81" s="1394"/>
      <c r="AR81" s="1394"/>
      <c r="AS81" s="1539"/>
      <c r="AT81" s="1153"/>
      <c r="AU81" s="1097"/>
    </row>
    <row r="82" spans="1:47" ht="15.6" customHeight="1" x14ac:dyDescent="0.25">
      <c r="A82" s="1146"/>
      <c r="B82" s="1531"/>
      <c r="C82" s="431" t="s">
        <v>392</v>
      </c>
      <c r="D82" s="687"/>
      <c r="E82" s="687"/>
      <c r="F82" s="687"/>
      <c r="G82" s="686">
        <v>30</v>
      </c>
      <c r="H82" s="1085">
        <v>1</v>
      </c>
      <c r="I82" s="1477">
        <v>180</v>
      </c>
      <c r="J82" s="1477"/>
      <c r="K82" s="684">
        <v>0</v>
      </c>
      <c r="L82" s="684">
        <v>30</v>
      </c>
      <c r="M82" s="684">
        <v>30</v>
      </c>
      <c r="N82" s="684">
        <v>60</v>
      </c>
      <c r="O82" s="1477" t="s">
        <v>24</v>
      </c>
      <c r="P82" s="1477"/>
      <c r="Q82" s="1467">
        <v>71.13</v>
      </c>
      <c r="R82" s="1468"/>
      <c r="S82" s="707">
        <v>0</v>
      </c>
      <c r="T82" s="1538"/>
      <c r="U82" s="1394"/>
      <c r="V82" s="1394"/>
      <c r="W82" s="1539"/>
      <c r="X82" s="1531"/>
      <c r="Y82" s="431" t="s">
        <v>392</v>
      </c>
      <c r="Z82" s="687"/>
      <c r="AA82" s="687"/>
      <c r="AB82" s="687"/>
      <c r="AC82" s="686">
        <v>30</v>
      </c>
      <c r="AD82" s="1085">
        <v>1</v>
      </c>
      <c r="AE82" s="1477">
        <v>180</v>
      </c>
      <c r="AF82" s="1477"/>
      <c r="AG82" s="684">
        <v>0</v>
      </c>
      <c r="AH82" s="684">
        <v>30</v>
      </c>
      <c r="AI82" s="684">
        <v>30</v>
      </c>
      <c r="AJ82" s="684">
        <v>60</v>
      </c>
      <c r="AK82" s="1477" t="s">
        <v>24</v>
      </c>
      <c r="AL82" s="1477"/>
      <c r="AM82" s="1467">
        <v>64.7</v>
      </c>
      <c r="AN82" s="1468"/>
      <c r="AO82" s="707">
        <v>0</v>
      </c>
      <c r="AP82" s="1538"/>
      <c r="AQ82" s="1394"/>
      <c r="AR82" s="1394"/>
      <c r="AS82" s="1539"/>
      <c r="AT82" s="1146"/>
      <c r="AU82" s="1097"/>
    </row>
    <row r="83" spans="1:47" ht="15.6" customHeight="1" x14ac:dyDescent="0.25">
      <c r="A83" s="1154"/>
      <c r="B83" s="1531"/>
      <c r="C83" s="704" t="s">
        <v>925</v>
      </c>
      <c r="D83" s="687"/>
      <c r="E83" s="687"/>
      <c r="F83" s="687"/>
      <c r="G83" s="686">
        <v>31</v>
      </c>
      <c r="H83" s="1085">
        <v>1</v>
      </c>
      <c r="I83" s="1477">
        <v>160</v>
      </c>
      <c r="J83" s="1477"/>
      <c r="K83" s="684"/>
      <c r="L83" s="684"/>
      <c r="M83" s="684"/>
      <c r="N83" s="684">
        <v>80</v>
      </c>
      <c r="O83" s="1477" t="s">
        <v>16</v>
      </c>
      <c r="P83" s="1477"/>
      <c r="Q83" s="1467">
        <v>76.78</v>
      </c>
      <c r="R83" s="1468"/>
      <c r="S83" s="707">
        <v>0</v>
      </c>
      <c r="T83" s="1538"/>
      <c r="U83" s="1394"/>
      <c r="V83" s="1394"/>
      <c r="W83" s="1539"/>
      <c r="X83" s="1531"/>
      <c r="Y83" s="704" t="s">
        <v>925</v>
      </c>
      <c r="Z83" s="687"/>
      <c r="AA83" s="687"/>
      <c r="AB83" s="687"/>
      <c r="AC83" s="686">
        <v>31</v>
      </c>
      <c r="AD83" s="1085">
        <v>1</v>
      </c>
      <c r="AE83" s="1477">
        <v>160</v>
      </c>
      <c r="AF83" s="1477"/>
      <c r="AG83" s="684"/>
      <c r="AH83" s="684"/>
      <c r="AI83" s="684"/>
      <c r="AJ83" s="684">
        <v>80</v>
      </c>
      <c r="AK83" s="1477" t="s">
        <v>16</v>
      </c>
      <c r="AL83" s="1477"/>
      <c r="AM83" s="1467">
        <v>66.56</v>
      </c>
      <c r="AN83" s="1468"/>
      <c r="AO83" s="707">
        <v>0</v>
      </c>
      <c r="AP83" s="1538"/>
      <c r="AQ83" s="1394"/>
      <c r="AR83" s="1394"/>
      <c r="AS83" s="1539"/>
      <c r="AT83" s="1154"/>
      <c r="AU83" s="1097"/>
    </row>
    <row r="84" spans="1:47" ht="15.6" customHeight="1" x14ac:dyDescent="0.25">
      <c r="A84" s="1147"/>
      <c r="B84" s="1531"/>
      <c r="C84" s="431" t="s">
        <v>399</v>
      </c>
      <c r="D84" s="687"/>
      <c r="E84" s="687"/>
      <c r="F84" s="687"/>
      <c r="G84" s="686">
        <v>32</v>
      </c>
      <c r="H84" s="1085">
        <v>1</v>
      </c>
      <c r="I84" s="1477">
        <v>160</v>
      </c>
      <c r="J84" s="1477"/>
      <c r="K84" s="684">
        <v>0</v>
      </c>
      <c r="L84" s="684">
        <v>80</v>
      </c>
      <c r="M84" s="684">
        <v>0</v>
      </c>
      <c r="N84" s="684">
        <v>80</v>
      </c>
      <c r="O84" s="1466" t="s">
        <v>1128</v>
      </c>
      <c r="P84" s="1466"/>
      <c r="Q84" s="1467">
        <v>69.89</v>
      </c>
      <c r="R84" s="1468"/>
      <c r="S84" s="707" t="s">
        <v>32</v>
      </c>
      <c r="T84" s="1538"/>
      <c r="U84" s="1394"/>
      <c r="V84" s="1394"/>
      <c r="W84" s="1539"/>
      <c r="X84" s="1531"/>
      <c r="Y84" s="431" t="s">
        <v>399</v>
      </c>
      <c r="Z84" s="687"/>
      <c r="AA84" s="687"/>
      <c r="AB84" s="687"/>
      <c r="AC84" s="686">
        <v>32</v>
      </c>
      <c r="AD84" s="1085">
        <v>1</v>
      </c>
      <c r="AE84" s="1477">
        <v>160</v>
      </c>
      <c r="AF84" s="1477"/>
      <c r="AG84" s="684">
        <v>0</v>
      </c>
      <c r="AH84" s="684">
        <v>80</v>
      </c>
      <c r="AI84" s="684">
        <v>0</v>
      </c>
      <c r="AJ84" s="684">
        <v>80</v>
      </c>
      <c r="AK84" s="1466" t="s">
        <v>1128</v>
      </c>
      <c r="AL84" s="1466"/>
      <c r="AM84" s="1467">
        <v>64.489999999999995</v>
      </c>
      <c r="AN84" s="1468"/>
      <c r="AO84" s="707">
        <v>0</v>
      </c>
      <c r="AP84" s="1538"/>
      <c r="AQ84" s="1394"/>
      <c r="AR84" s="1394"/>
      <c r="AS84" s="1539"/>
      <c r="AT84" s="1147"/>
      <c r="AU84" s="1097"/>
    </row>
    <row r="85" spans="1:47" ht="15.6" customHeight="1" x14ac:dyDescent="0.25">
      <c r="A85" s="1146"/>
      <c r="B85" s="1531"/>
      <c r="C85" s="431" t="s">
        <v>405</v>
      </c>
      <c r="D85" s="687"/>
      <c r="E85" s="687"/>
      <c r="F85" s="687"/>
      <c r="G85" s="453">
        <v>33</v>
      </c>
      <c r="H85" s="1086">
        <v>1</v>
      </c>
      <c r="I85" s="1469">
        <v>120</v>
      </c>
      <c r="J85" s="1469"/>
      <c r="K85" s="617" t="s">
        <v>408</v>
      </c>
      <c r="L85" s="617">
        <v>90</v>
      </c>
      <c r="M85" s="617">
        <v>30</v>
      </c>
      <c r="N85" s="617">
        <v>120</v>
      </c>
      <c r="O85" s="1469" t="s">
        <v>16</v>
      </c>
      <c r="P85" s="1469"/>
      <c r="Q85" s="1470">
        <v>70.88</v>
      </c>
      <c r="R85" s="1471"/>
      <c r="S85" s="707">
        <v>0</v>
      </c>
      <c r="T85" s="1538"/>
      <c r="U85" s="1394"/>
      <c r="V85" s="1394"/>
      <c r="W85" s="1539"/>
      <c r="X85" s="1531"/>
      <c r="Y85" s="431" t="s">
        <v>405</v>
      </c>
      <c r="Z85" s="687"/>
      <c r="AA85" s="687"/>
      <c r="AB85" s="687"/>
      <c r="AC85" s="453">
        <v>33</v>
      </c>
      <c r="AD85" s="1086">
        <v>1</v>
      </c>
      <c r="AE85" s="1469">
        <v>120</v>
      </c>
      <c r="AF85" s="1469"/>
      <c r="AG85" s="617" t="s">
        <v>408</v>
      </c>
      <c r="AH85" s="617">
        <v>90</v>
      </c>
      <c r="AI85" s="617">
        <v>30</v>
      </c>
      <c r="AJ85" s="617">
        <v>120</v>
      </c>
      <c r="AK85" s="1469" t="s">
        <v>16</v>
      </c>
      <c r="AL85" s="1469"/>
      <c r="AM85" s="1470">
        <v>65.13</v>
      </c>
      <c r="AN85" s="1471"/>
      <c r="AO85" s="707">
        <v>0</v>
      </c>
      <c r="AP85" s="1538"/>
      <c r="AQ85" s="1394"/>
      <c r="AR85" s="1394"/>
      <c r="AS85" s="1539"/>
      <c r="AT85" s="1146"/>
      <c r="AU85" s="1097"/>
    </row>
    <row r="86" spans="1:47" ht="15.6" customHeight="1" x14ac:dyDescent="0.25">
      <c r="A86" s="1146"/>
      <c r="B86" s="1531"/>
      <c r="C86" s="690" t="s">
        <v>947</v>
      </c>
      <c r="D86" s="442"/>
      <c r="E86" s="442"/>
      <c r="F86" s="442"/>
      <c r="G86" s="313"/>
      <c r="H86" s="1087" t="s">
        <v>29</v>
      </c>
      <c r="I86" s="691"/>
      <c r="J86" s="312"/>
      <c r="K86" s="1187"/>
      <c r="L86" s="1187"/>
      <c r="M86" s="1187"/>
      <c r="N86" s="1187"/>
      <c r="O86" s="1182"/>
      <c r="P86" s="313"/>
      <c r="Q86" s="708"/>
      <c r="R86" s="795"/>
      <c r="S86" s="1075"/>
      <c r="T86" s="1394"/>
      <c r="U86" s="1394"/>
      <c r="V86" s="1394"/>
      <c r="W86" s="1539"/>
      <c r="X86" s="1531"/>
      <c r="Y86" s="690" t="s">
        <v>947</v>
      </c>
      <c r="Z86" s="442"/>
      <c r="AA86" s="442"/>
      <c r="AB86" s="442"/>
      <c r="AC86" s="313"/>
      <c r="AD86" s="1087" t="s">
        <v>29</v>
      </c>
      <c r="AE86" s="691"/>
      <c r="AF86" s="312"/>
      <c r="AG86" s="1187"/>
      <c r="AH86" s="1187"/>
      <c r="AI86" s="1187"/>
      <c r="AJ86" s="1187"/>
      <c r="AK86" s="1182"/>
      <c r="AL86" s="313"/>
      <c r="AM86" s="708"/>
      <c r="AN86" s="795"/>
      <c r="AO86" s="1075"/>
      <c r="AP86" s="1394"/>
      <c r="AQ86" s="1394"/>
      <c r="AR86" s="1394"/>
      <c r="AS86" s="1539"/>
      <c r="AT86" s="1146"/>
      <c r="AU86" s="1097"/>
    </row>
    <row r="87" spans="1:47" ht="15.6" customHeight="1" x14ac:dyDescent="0.25">
      <c r="A87" s="1146"/>
      <c r="B87" s="1531"/>
      <c r="C87" s="704" t="s">
        <v>970</v>
      </c>
      <c r="D87" s="688"/>
      <c r="E87" s="688"/>
      <c r="F87" s="688"/>
      <c r="G87" s="413">
        <v>35</v>
      </c>
      <c r="H87" s="1088">
        <v>10</v>
      </c>
      <c r="I87" s="1472">
        <v>120</v>
      </c>
      <c r="J87" s="1472"/>
      <c r="K87" s="618">
        <v>0</v>
      </c>
      <c r="L87" s="618">
        <v>0</v>
      </c>
      <c r="M87" s="618">
        <v>0</v>
      </c>
      <c r="N87" s="618">
        <v>0</v>
      </c>
      <c r="O87" s="1472" t="s">
        <v>417</v>
      </c>
      <c r="P87" s="1472"/>
      <c r="Q87" s="1473">
        <v>72.38</v>
      </c>
      <c r="R87" s="1474"/>
      <c r="S87" s="707">
        <v>0</v>
      </c>
      <c r="T87" s="1538"/>
      <c r="U87" s="1394"/>
      <c r="V87" s="1394"/>
      <c r="W87" s="1539"/>
      <c r="X87" s="1531"/>
      <c r="Y87" s="704" t="s">
        <v>970</v>
      </c>
      <c r="Z87" s="688"/>
      <c r="AA87" s="688"/>
      <c r="AB87" s="688"/>
      <c r="AC87" s="413">
        <v>35</v>
      </c>
      <c r="AD87" s="1088">
        <v>10</v>
      </c>
      <c r="AE87" s="1472">
        <v>120</v>
      </c>
      <c r="AF87" s="1472"/>
      <c r="AG87" s="618">
        <v>0</v>
      </c>
      <c r="AH87" s="618">
        <v>0</v>
      </c>
      <c r="AI87" s="618">
        <v>0</v>
      </c>
      <c r="AJ87" s="618">
        <v>0</v>
      </c>
      <c r="AK87" s="1472" t="s">
        <v>417</v>
      </c>
      <c r="AL87" s="1472"/>
      <c r="AM87" s="1473">
        <v>64.63</v>
      </c>
      <c r="AN87" s="1474"/>
      <c r="AO87" s="707">
        <v>0</v>
      </c>
      <c r="AP87" s="1538"/>
      <c r="AQ87" s="1394"/>
      <c r="AR87" s="1394"/>
      <c r="AS87" s="1539"/>
      <c r="AT87" s="1146"/>
      <c r="AU87" s="1097"/>
    </row>
    <row r="88" spans="1:47" ht="15.6" customHeight="1" x14ac:dyDescent="0.25">
      <c r="A88" s="1146"/>
      <c r="B88" s="1531"/>
      <c r="C88" s="704" t="s">
        <v>447</v>
      </c>
      <c r="D88" s="688"/>
      <c r="E88" s="688"/>
      <c r="F88" s="688"/>
      <c r="G88" s="453">
        <v>36</v>
      </c>
      <c r="H88" s="1086">
        <v>2</v>
      </c>
      <c r="I88" s="1469">
        <v>100</v>
      </c>
      <c r="J88" s="1469"/>
      <c r="K88" s="617">
        <v>0</v>
      </c>
      <c r="L88" s="617">
        <v>0</v>
      </c>
      <c r="M88" s="617">
        <v>20</v>
      </c>
      <c r="N88" s="617">
        <v>20</v>
      </c>
      <c r="O88" s="1469" t="s">
        <v>417</v>
      </c>
      <c r="P88" s="1469"/>
      <c r="Q88" s="1470">
        <v>73.650000000000006</v>
      </c>
      <c r="R88" s="1471"/>
      <c r="S88" s="707">
        <v>0</v>
      </c>
      <c r="T88" s="1538"/>
      <c r="U88" s="1394"/>
      <c r="V88" s="1394"/>
      <c r="W88" s="1539"/>
      <c r="X88" s="1531"/>
      <c r="Y88" s="704" t="s">
        <v>447</v>
      </c>
      <c r="Z88" s="688"/>
      <c r="AA88" s="688"/>
      <c r="AB88" s="688"/>
      <c r="AC88" s="453">
        <v>36</v>
      </c>
      <c r="AD88" s="1086">
        <v>2</v>
      </c>
      <c r="AE88" s="1469">
        <v>100</v>
      </c>
      <c r="AF88" s="1469"/>
      <c r="AG88" s="617">
        <v>0</v>
      </c>
      <c r="AH88" s="617">
        <v>0</v>
      </c>
      <c r="AI88" s="617">
        <v>20</v>
      </c>
      <c r="AJ88" s="617">
        <v>20</v>
      </c>
      <c r="AK88" s="1469" t="s">
        <v>417</v>
      </c>
      <c r="AL88" s="1469"/>
      <c r="AM88" s="1470">
        <v>64.95</v>
      </c>
      <c r="AN88" s="1471"/>
      <c r="AO88" s="707">
        <v>0</v>
      </c>
      <c r="AP88" s="1538"/>
      <c r="AQ88" s="1394"/>
      <c r="AR88" s="1394"/>
      <c r="AS88" s="1539"/>
      <c r="AT88" s="1146"/>
      <c r="AU88" s="1097"/>
    </row>
    <row r="89" spans="1:47" ht="15.6" customHeight="1" x14ac:dyDescent="0.25">
      <c r="A89" s="1146"/>
      <c r="B89" s="1532"/>
      <c r="C89" s="1475" t="s">
        <v>1006</v>
      </c>
      <c r="D89" s="1476"/>
      <c r="E89" s="1476"/>
      <c r="F89" s="1476"/>
      <c r="G89" s="442" t="s">
        <v>856</v>
      </c>
      <c r="H89" s="442"/>
      <c r="I89" s="705"/>
      <c r="J89" s="705"/>
      <c r="K89" s="705"/>
      <c r="L89" s="705"/>
      <c r="M89" s="705"/>
      <c r="N89" s="705"/>
      <c r="O89" s="705"/>
      <c r="P89" s="705"/>
      <c r="Q89" s="705"/>
      <c r="R89" s="702"/>
      <c r="S89" s="1081"/>
      <c r="T89" s="174"/>
      <c r="U89" s="174"/>
      <c r="V89" s="105"/>
      <c r="W89" s="891"/>
      <c r="X89" s="1532"/>
      <c r="Y89" s="1475" t="s">
        <v>1006</v>
      </c>
      <c r="Z89" s="1476"/>
      <c r="AA89" s="1476"/>
      <c r="AB89" s="1476"/>
      <c r="AC89" s="442" t="s">
        <v>856</v>
      </c>
      <c r="AD89" s="442"/>
      <c r="AE89" s="705"/>
      <c r="AF89" s="705"/>
      <c r="AG89" s="705"/>
      <c r="AH89" s="705"/>
      <c r="AI89" s="705"/>
      <c r="AJ89" s="705"/>
      <c r="AK89" s="705"/>
      <c r="AL89" s="705"/>
      <c r="AM89" s="705"/>
      <c r="AN89" s="702"/>
      <c r="AO89" s="1081"/>
      <c r="AP89" s="174"/>
      <c r="AQ89" s="174"/>
      <c r="AR89" s="105"/>
      <c r="AS89" s="891"/>
      <c r="AT89" s="1146"/>
      <c r="AU89" s="1097"/>
    </row>
    <row r="90" spans="1:47" ht="15.6" customHeight="1" x14ac:dyDescent="0.25">
      <c r="A90" s="1146"/>
      <c r="B90" s="1191"/>
      <c r="C90" s="1307" t="s">
        <v>1142</v>
      </c>
      <c r="D90" s="1308"/>
      <c r="E90" s="1309"/>
      <c r="F90" s="1310"/>
      <c r="G90" s="1310"/>
      <c r="H90" s="1310"/>
      <c r="I90" s="1310"/>
      <c r="J90" s="1310"/>
      <c r="K90" s="1310"/>
      <c r="L90" s="1311"/>
      <c r="M90" s="1311"/>
      <c r="N90" s="1312"/>
      <c r="O90" s="1312"/>
      <c r="P90" s="1313"/>
      <c r="Q90" s="1308"/>
      <c r="R90" s="1310"/>
      <c r="S90" s="1310"/>
      <c r="T90" s="1314"/>
      <c r="U90" s="1315"/>
      <c r="V90" s="1308"/>
      <c r="W90" s="1316"/>
      <c r="X90" s="1191"/>
      <c r="Y90" s="1307" t="s">
        <v>1140</v>
      </c>
      <c r="Z90" s="1308"/>
      <c r="AA90" s="1309"/>
      <c r="AB90" s="1310"/>
      <c r="AC90" s="1310"/>
      <c r="AD90" s="1310"/>
      <c r="AE90" s="1310"/>
      <c r="AF90" s="1310"/>
      <c r="AG90" s="1310"/>
      <c r="AH90" s="1311"/>
      <c r="AI90" s="1311"/>
      <c r="AJ90" s="1312"/>
      <c r="AK90" s="1312"/>
      <c r="AL90" s="1313"/>
      <c r="AM90" s="1308"/>
      <c r="AN90" s="1310"/>
      <c r="AO90" s="1310"/>
      <c r="AP90" s="1314"/>
      <c r="AQ90" s="1315"/>
      <c r="AR90" s="1308"/>
      <c r="AS90" s="1316"/>
      <c r="AT90" s="1146"/>
      <c r="AU90" s="1097"/>
    </row>
    <row r="91" spans="1:47" ht="15.6" customHeight="1" x14ac:dyDescent="0.25">
      <c r="A91" s="1146"/>
      <c r="B91" s="1530"/>
      <c r="C91" s="306" t="s">
        <v>798</v>
      </c>
      <c r="D91" s="696"/>
      <c r="E91" s="696"/>
      <c r="F91" s="307"/>
      <c r="G91" s="308"/>
      <c r="H91" s="309"/>
      <c r="I91" s="880"/>
      <c r="J91" s="881" t="s">
        <v>799</v>
      </c>
      <c r="K91" s="882"/>
      <c r="L91" s="882"/>
      <c r="M91" s="883"/>
      <c r="N91" s="884"/>
      <c r="O91" s="885"/>
      <c r="P91" s="880"/>
      <c r="Q91" s="302" t="s">
        <v>800</v>
      </c>
      <c r="R91" s="695"/>
      <c r="S91" s="695"/>
      <c r="T91" s="303"/>
      <c r="U91" s="304"/>
      <c r="V91" s="305"/>
      <c r="W91" s="886"/>
      <c r="X91" s="1530"/>
      <c r="Y91" s="306" t="s">
        <v>798</v>
      </c>
      <c r="Z91" s="696"/>
      <c r="AA91" s="696"/>
      <c r="AB91" s="307"/>
      <c r="AC91" s="308"/>
      <c r="AD91" s="309"/>
      <c r="AE91" s="880"/>
      <c r="AF91" s="881" t="s">
        <v>799</v>
      </c>
      <c r="AG91" s="882"/>
      <c r="AH91" s="882"/>
      <c r="AI91" s="883"/>
      <c r="AJ91" s="884"/>
      <c r="AK91" s="885"/>
      <c r="AL91" s="880"/>
      <c r="AM91" s="302" t="s">
        <v>800</v>
      </c>
      <c r="AN91" s="695"/>
      <c r="AO91" s="695"/>
      <c r="AP91" s="303"/>
      <c r="AQ91" s="304"/>
      <c r="AR91" s="305"/>
      <c r="AS91" s="886"/>
      <c r="AT91" s="1146"/>
      <c r="AU91" s="1097"/>
    </row>
    <row r="92" spans="1:47" ht="15.6" customHeight="1" x14ac:dyDescent="0.25">
      <c r="A92" s="1147"/>
      <c r="B92" s="1531"/>
      <c r="C92" s="1533" t="s">
        <v>808</v>
      </c>
      <c r="D92" s="1515"/>
      <c r="E92" s="1516"/>
      <c r="F92" s="315" t="s">
        <v>809</v>
      </c>
      <c r="G92" s="315" t="s">
        <v>810</v>
      </c>
      <c r="H92" s="315" t="s">
        <v>811</v>
      </c>
      <c r="I92" s="276"/>
      <c r="J92" s="1517" t="s">
        <v>808</v>
      </c>
      <c r="K92" s="1518"/>
      <c r="L92" s="1519"/>
      <c r="M92" s="1186" t="s">
        <v>809</v>
      </c>
      <c r="N92" s="1186" t="s">
        <v>810</v>
      </c>
      <c r="O92" s="1186" t="s">
        <v>811</v>
      </c>
      <c r="P92" s="260"/>
      <c r="Q92" s="1517" t="s">
        <v>808</v>
      </c>
      <c r="R92" s="1518"/>
      <c r="S92" s="1519"/>
      <c r="T92" s="1186" t="s">
        <v>809</v>
      </c>
      <c r="U92" s="1186" t="s">
        <v>810</v>
      </c>
      <c r="V92" s="1186" t="s">
        <v>811</v>
      </c>
      <c r="W92" s="348"/>
      <c r="X92" s="1531"/>
      <c r="Y92" s="1533" t="s">
        <v>808</v>
      </c>
      <c r="Z92" s="1515"/>
      <c r="AA92" s="1516"/>
      <c r="AB92" s="315" t="s">
        <v>809</v>
      </c>
      <c r="AC92" s="315" t="s">
        <v>810</v>
      </c>
      <c r="AD92" s="315" t="s">
        <v>811</v>
      </c>
      <c r="AE92" s="276"/>
      <c r="AF92" s="1517" t="s">
        <v>808</v>
      </c>
      <c r="AG92" s="1518"/>
      <c r="AH92" s="1519"/>
      <c r="AI92" s="1186" t="s">
        <v>809</v>
      </c>
      <c r="AJ92" s="1186" t="s">
        <v>810</v>
      </c>
      <c r="AK92" s="1186" t="s">
        <v>811</v>
      </c>
      <c r="AL92" s="260"/>
      <c r="AM92" s="1517" t="s">
        <v>808</v>
      </c>
      <c r="AN92" s="1518"/>
      <c r="AO92" s="1519"/>
      <c r="AP92" s="1186" t="s">
        <v>809</v>
      </c>
      <c r="AQ92" s="1186" t="s">
        <v>810</v>
      </c>
      <c r="AR92" s="1186" t="s">
        <v>811</v>
      </c>
      <c r="AS92" s="348"/>
      <c r="AT92" s="1147"/>
      <c r="AU92" s="1097"/>
    </row>
    <row r="93" spans="1:47" ht="15.6" customHeight="1" x14ac:dyDescent="0.25">
      <c r="A93" s="1146"/>
      <c r="B93" s="1531"/>
      <c r="C93" s="1504" t="s">
        <v>866</v>
      </c>
      <c r="D93" s="1505"/>
      <c r="E93" s="1506"/>
      <c r="F93" s="817">
        <v>20</v>
      </c>
      <c r="G93" s="862">
        <v>54</v>
      </c>
      <c r="H93" s="1184" t="s">
        <v>760</v>
      </c>
      <c r="I93" s="276"/>
      <c r="J93" s="1504" t="s">
        <v>867</v>
      </c>
      <c r="K93" s="1505"/>
      <c r="L93" s="1506"/>
      <c r="M93" s="817">
        <v>20</v>
      </c>
      <c r="N93" s="862">
        <v>43</v>
      </c>
      <c r="O93" s="554" t="s">
        <v>756</v>
      </c>
      <c r="P93" s="276"/>
      <c r="Q93" s="1504" t="s">
        <v>868</v>
      </c>
      <c r="R93" s="1505"/>
      <c r="S93" s="1506"/>
      <c r="T93" s="817">
        <v>20</v>
      </c>
      <c r="U93" s="862">
        <v>66</v>
      </c>
      <c r="V93" s="1184" t="s">
        <v>765</v>
      </c>
      <c r="W93" s="348"/>
      <c r="X93" s="1531"/>
      <c r="Y93" s="1504" t="s">
        <v>866</v>
      </c>
      <c r="Z93" s="1505"/>
      <c r="AA93" s="1506"/>
      <c r="AB93" s="817">
        <v>30</v>
      </c>
      <c r="AC93" s="862">
        <v>40</v>
      </c>
      <c r="AD93" s="1184" t="s">
        <v>755</v>
      </c>
      <c r="AE93" s="276"/>
      <c r="AF93" s="1504" t="s">
        <v>867</v>
      </c>
      <c r="AG93" s="1505"/>
      <c r="AH93" s="1506"/>
      <c r="AI93" s="817">
        <v>15</v>
      </c>
      <c r="AJ93" s="862">
        <v>50</v>
      </c>
      <c r="AK93" s="554" t="s">
        <v>759</v>
      </c>
      <c r="AL93" s="276"/>
      <c r="AM93" s="1504" t="s">
        <v>868</v>
      </c>
      <c r="AN93" s="1505"/>
      <c r="AO93" s="1506"/>
      <c r="AP93" s="817">
        <v>30</v>
      </c>
      <c r="AQ93" s="862">
        <v>70</v>
      </c>
      <c r="AR93" s="1184" t="s">
        <v>767</v>
      </c>
      <c r="AS93" s="348"/>
      <c r="AT93" s="1146"/>
      <c r="AU93" s="1097"/>
    </row>
    <row r="94" spans="1:47" ht="15.6" customHeight="1" x14ac:dyDescent="0.25">
      <c r="A94" s="1146"/>
      <c r="B94" s="1531"/>
      <c r="C94" s="1534" t="s">
        <v>869</v>
      </c>
      <c r="D94" s="1520"/>
      <c r="E94" s="1521"/>
      <c r="F94" s="817">
        <v>20</v>
      </c>
      <c r="G94" s="862">
        <v>57</v>
      </c>
      <c r="H94" s="1184" t="s">
        <v>761</v>
      </c>
      <c r="I94" s="276"/>
      <c r="J94" s="1504" t="s">
        <v>870</v>
      </c>
      <c r="K94" s="1505"/>
      <c r="L94" s="1506"/>
      <c r="M94" s="817">
        <v>20</v>
      </c>
      <c r="N94" s="862">
        <v>66</v>
      </c>
      <c r="O94" s="554" t="s">
        <v>765</v>
      </c>
      <c r="P94" s="276"/>
      <c r="Q94" s="1504" t="s">
        <v>871</v>
      </c>
      <c r="R94" s="1505"/>
      <c r="S94" s="1506"/>
      <c r="T94" s="817">
        <v>20</v>
      </c>
      <c r="U94" s="862">
        <v>71</v>
      </c>
      <c r="V94" s="1184" t="s">
        <v>767</v>
      </c>
      <c r="W94" s="348"/>
      <c r="X94" s="1531"/>
      <c r="Y94" s="1534" t="s">
        <v>869</v>
      </c>
      <c r="Z94" s="1520"/>
      <c r="AA94" s="1521"/>
      <c r="AB94" s="817">
        <v>30</v>
      </c>
      <c r="AC94" s="862">
        <v>44</v>
      </c>
      <c r="AD94" s="1184" t="s">
        <v>756</v>
      </c>
      <c r="AE94" s="276"/>
      <c r="AF94" s="1504" t="s">
        <v>870</v>
      </c>
      <c r="AG94" s="1505"/>
      <c r="AH94" s="1506"/>
      <c r="AI94" s="817">
        <v>15</v>
      </c>
      <c r="AJ94" s="862">
        <v>51</v>
      </c>
      <c r="AK94" s="554" t="s">
        <v>759</v>
      </c>
      <c r="AL94" s="276"/>
      <c r="AM94" s="1504" t="s">
        <v>871</v>
      </c>
      <c r="AN94" s="1505"/>
      <c r="AO94" s="1506"/>
      <c r="AP94" s="817">
        <v>30</v>
      </c>
      <c r="AQ94" s="862">
        <v>69</v>
      </c>
      <c r="AR94" s="1184" t="s">
        <v>766</v>
      </c>
      <c r="AS94" s="348"/>
      <c r="AT94" s="1146"/>
    </row>
    <row r="95" spans="1:47" ht="15.6" customHeight="1" x14ac:dyDescent="0.25">
      <c r="A95" s="1150"/>
      <c r="B95" s="1531"/>
      <c r="C95" s="1504" t="s">
        <v>872</v>
      </c>
      <c r="D95" s="1505"/>
      <c r="E95" s="1506"/>
      <c r="F95" s="817">
        <v>20</v>
      </c>
      <c r="G95" s="862">
        <v>63</v>
      </c>
      <c r="H95" s="1184" t="s">
        <v>764</v>
      </c>
      <c r="I95" s="276"/>
      <c r="J95" s="1504" t="s">
        <v>873</v>
      </c>
      <c r="K95" s="1505"/>
      <c r="L95" s="1506"/>
      <c r="M95" s="817">
        <v>20</v>
      </c>
      <c r="N95" s="862">
        <v>50</v>
      </c>
      <c r="O95" s="554" t="s">
        <v>759</v>
      </c>
      <c r="P95" s="276"/>
      <c r="Q95" s="1504" t="s">
        <v>874</v>
      </c>
      <c r="R95" s="1505"/>
      <c r="S95" s="1506"/>
      <c r="T95" s="817">
        <v>20</v>
      </c>
      <c r="U95" s="862">
        <v>74</v>
      </c>
      <c r="V95" s="1184" t="s">
        <v>768</v>
      </c>
      <c r="W95" s="348"/>
      <c r="X95" s="1531"/>
      <c r="Y95" s="1504" t="s">
        <v>872</v>
      </c>
      <c r="Z95" s="1505"/>
      <c r="AA95" s="1506"/>
      <c r="AB95" s="817">
        <v>15</v>
      </c>
      <c r="AC95" s="862">
        <v>43</v>
      </c>
      <c r="AD95" s="1184" t="s">
        <v>756</v>
      </c>
      <c r="AE95" s="276"/>
      <c r="AF95" s="1504" t="s">
        <v>873</v>
      </c>
      <c r="AG95" s="1505"/>
      <c r="AH95" s="1506"/>
      <c r="AI95" s="817">
        <v>15</v>
      </c>
      <c r="AJ95" s="862">
        <v>52</v>
      </c>
      <c r="AK95" s="554" t="s">
        <v>759</v>
      </c>
      <c r="AL95" s="276"/>
      <c r="AM95" s="1504" t="s">
        <v>874</v>
      </c>
      <c r="AN95" s="1505"/>
      <c r="AO95" s="1506"/>
      <c r="AP95" s="817">
        <v>15</v>
      </c>
      <c r="AQ95" s="862">
        <v>71</v>
      </c>
      <c r="AR95" s="1184" t="s">
        <v>767</v>
      </c>
      <c r="AS95" s="348"/>
      <c r="AT95" s="1150"/>
    </row>
    <row r="96" spans="1:47" ht="15.6" customHeight="1" x14ac:dyDescent="0.25">
      <c r="A96" s="1146"/>
      <c r="B96" s="1531"/>
      <c r="C96" s="1504" t="s">
        <v>875</v>
      </c>
      <c r="D96" s="1505"/>
      <c r="E96" s="1506"/>
      <c r="F96" s="817">
        <v>20</v>
      </c>
      <c r="G96" s="862">
        <v>65</v>
      </c>
      <c r="H96" s="1184" t="s">
        <v>765</v>
      </c>
      <c r="I96" s="276"/>
      <c r="J96" s="1504" t="s">
        <v>876</v>
      </c>
      <c r="K96" s="1505"/>
      <c r="L96" s="1506"/>
      <c r="M96" s="817">
        <v>20</v>
      </c>
      <c r="N96" s="862">
        <v>56</v>
      </c>
      <c r="O96" s="554" t="s">
        <v>761</v>
      </c>
      <c r="P96" s="276"/>
      <c r="Q96" s="1504" t="s">
        <v>877</v>
      </c>
      <c r="R96" s="1505"/>
      <c r="S96" s="1506"/>
      <c r="T96" s="817">
        <v>20</v>
      </c>
      <c r="U96" s="862">
        <v>75</v>
      </c>
      <c r="V96" s="1184" t="s">
        <v>769</v>
      </c>
      <c r="W96" s="348"/>
      <c r="X96" s="1531"/>
      <c r="Y96" s="1504" t="s">
        <v>875</v>
      </c>
      <c r="Z96" s="1505"/>
      <c r="AA96" s="1506"/>
      <c r="AB96" s="817">
        <v>15</v>
      </c>
      <c r="AC96" s="862">
        <v>42</v>
      </c>
      <c r="AD96" s="1184" t="s">
        <v>755</v>
      </c>
      <c r="AE96" s="276"/>
      <c r="AF96" s="1504" t="s">
        <v>876</v>
      </c>
      <c r="AG96" s="1505"/>
      <c r="AH96" s="1506"/>
      <c r="AI96" s="817">
        <v>15</v>
      </c>
      <c r="AJ96" s="862">
        <v>53</v>
      </c>
      <c r="AK96" s="554" t="s">
        <v>760</v>
      </c>
      <c r="AL96" s="276"/>
      <c r="AM96" s="1504" t="s">
        <v>877</v>
      </c>
      <c r="AN96" s="1505"/>
      <c r="AO96" s="1506"/>
      <c r="AP96" s="817">
        <v>15</v>
      </c>
      <c r="AQ96" s="862">
        <v>70</v>
      </c>
      <c r="AR96" s="1184" t="s">
        <v>767</v>
      </c>
      <c r="AS96" s="348"/>
      <c r="AT96" s="1146"/>
    </row>
    <row r="97" spans="1:47" ht="15.6" customHeight="1" x14ac:dyDescent="0.25">
      <c r="A97" s="1146"/>
      <c r="B97" s="1531"/>
      <c r="C97" s="1504" t="s">
        <v>878</v>
      </c>
      <c r="D97" s="1505"/>
      <c r="E97" s="1506"/>
      <c r="F97" s="817">
        <v>20</v>
      </c>
      <c r="G97" s="862">
        <v>72</v>
      </c>
      <c r="H97" s="1184" t="s">
        <v>767</v>
      </c>
      <c r="I97" s="276"/>
      <c r="J97" s="1504" t="s">
        <v>879</v>
      </c>
      <c r="K97" s="1505"/>
      <c r="L97" s="1506"/>
      <c r="M97" s="817">
        <v>20</v>
      </c>
      <c r="N97" s="818">
        <v>60</v>
      </c>
      <c r="O97" s="554" t="s">
        <v>763</v>
      </c>
      <c r="P97" s="276"/>
      <c r="Q97" s="1504" t="s">
        <v>880</v>
      </c>
      <c r="R97" s="1505"/>
      <c r="S97" s="1506"/>
      <c r="T97" s="817">
        <v>20</v>
      </c>
      <c r="U97" s="862">
        <v>75</v>
      </c>
      <c r="V97" s="1184" t="s">
        <v>769</v>
      </c>
      <c r="W97" s="348"/>
      <c r="X97" s="1531"/>
      <c r="Y97" s="1504" t="s">
        <v>878</v>
      </c>
      <c r="Z97" s="1505"/>
      <c r="AA97" s="1506"/>
      <c r="AB97" s="817">
        <v>15</v>
      </c>
      <c r="AC97" s="862">
        <v>41</v>
      </c>
      <c r="AD97" s="1184" t="s">
        <v>755</v>
      </c>
      <c r="AE97" s="276"/>
      <c r="AF97" s="1504" t="s">
        <v>879</v>
      </c>
      <c r="AG97" s="1505"/>
      <c r="AH97" s="1506"/>
      <c r="AI97" s="817">
        <v>30</v>
      </c>
      <c r="AJ97" s="818">
        <v>54</v>
      </c>
      <c r="AK97" s="554" t="s">
        <v>760</v>
      </c>
      <c r="AL97" s="276"/>
      <c r="AM97" s="1504" t="s">
        <v>880</v>
      </c>
      <c r="AN97" s="1505"/>
      <c r="AO97" s="1506"/>
      <c r="AP97" s="817">
        <v>15</v>
      </c>
      <c r="AQ97" s="862">
        <v>72</v>
      </c>
      <c r="AR97" s="1184" t="s">
        <v>767</v>
      </c>
      <c r="AS97" s="348"/>
      <c r="AT97" s="1146"/>
    </row>
    <row r="98" spans="1:47" ht="15.6" customHeight="1" x14ac:dyDescent="0.25">
      <c r="A98" s="1146"/>
      <c r="B98" s="1531"/>
      <c r="C98" s="1504" t="s">
        <v>881</v>
      </c>
      <c r="D98" s="1505"/>
      <c r="E98" s="1506"/>
      <c r="F98" s="817">
        <v>20</v>
      </c>
      <c r="G98" s="862">
        <v>80</v>
      </c>
      <c r="H98" s="1184" t="s">
        <v>771</v>
      </c>
      <c r="I98" s="276"/>
      <c r="J98" s="1504" t="s">
        <v>882</v>
      </c>
      <c r="K98" s="1505"/>
      <c r="L98" s="1506"/>
      <c r="M98" s="817">
        <v>20</v>
      </c>
      <c r="N98" s="818">
        <v>60</v>
      </c>
      <c r="O98" s="554" t="s">
        <v>763</v>
      </c>
      <c r="P98" s="276"/>
      <c r="Q98" s="1504" t="s">
        <v>883</v>
      </c>
      <c r="R98" s="1505"/>
      <c r="S98" s="1506"/>
      <c r="T98" s="817">
        <v>20</v>
      </c>
      <c r="U98" s="818">
        <v>81</v>
      </c>
      <c r="V98" s="1184" t="s">
        <v>771</v>
      </c>
      <c r="W98" s="348"/>
      <c r="X98" s="1531"/>
      <c r="Y98" s="1504" t="s">
        <v>881</v>
      </c>
      <c r="Z98" s="1505"/>
      <c r="AA98" s="1506"/>
      <c r="AB98" s="817">
        <v>15</v>
      </c>
      <c r="AC98" s="862">
        <v>44</v>
      </c>
      <c r="AD98" s="1184" t="s">
        <v>756</v>
      </c>
      <c r="AE98" s="276"/>
      <c r="AF98" s="1504" t="s">
        <v>882</v>
      </c>
      <c r="AG98" s="1505"/>
      <c r="AH98" s="1506"/>
      <c r="AI98" s="817">
        <v>30</v>
      </c>
      <c r="AJ98" s="818">
        <v>55</v>
      </c>
      <c r="AK98" s="554" t="s">
        <v>761</v>
      </c>
      <c r="AL98" s="276"/>
      <c r="AM98" s="1504" t="s">
        <v>883</v>
      </c>
      <c r="AN98" s="1505"/>
      <c r="AO98" s="1506"/>
      <c r="AP98" s="817">
        <v>15</v>
      </c>
      <c r="AQ98" s="818">
        <v>68</v>
      </c>
      <c r="AR98" s="1184" t="s">
        <v>766</v>
      </c>
      <c r="AS98" s="348"/>
      <c r="AT98" s="1146"/>
    </row>
    <row r="99" spans="1:47" ht="15.6" hidden="1" customHeight="1" x14ac:dyDescent="0.25">
      <c r="A99" s="1146"/>
      <c r="B99" s="1531"/>
      <c r="C99" s="1504" t="s">
        <v>636</v>
      </c>
      <c r="D99" s="1505"/>
      <c r="E99" s="1506"/>
      <c r="F99" s="817"/>
      <c r="G99" s="862"/>
      <c r="H99" s="1184" t="s">
        <v>29</v>
      </c>
      <c r="I99" s="276"/>
      <c r="J99" s="1504" t="s">
        <v>636</v>
      </c>
      <c r="K99" s="1505"/>
      <c r="L99" s="1506"/>
      <c r="M99" s="817"/>
      <c r="N99" s="818"/>
      <c r="O99" s="554" t="s">
        <v>29</v>
      </c>
      <c r="P99" s="276"/>
      <c r="Q99" s="1504" t="s">
        <v>636</v>
      </c>
      <c r="R99" s="1505"/>
      <c r="S99" s="1506"/>
      <c r="T99" s="817"/>
      <c r="U99" s="818"/>
      <c r="V99" s="1184" t="s">
        <v>29</v>
      </c>
      <c r="W99" s="167"/>
      <c r="X99" s="1531"/>
      <c r="Y99" s="1504" t="s">
        <v>636</v>
      </c>
      <c r="Z99" s="1505"/>
      <c r="AA99" s="1506"/>
      <c r="AB99" s="817"/>
      <c r="AC99" s="862"/>
      <c r="AD99" s="1184" t="s">
        <v>29</v>
      </c>
      <c r="AE99" s="276"/>
      <c r="AF99" s="1504" t="s">
        <v>636</v>
      </c>
      <c r="AG99" s="1505"/>
      <c r="AH99" s="1506"/>
      <c r="AI99" s="817"/>
      <c r="AJ99" s="818"/>
      <c r="AK99" s="554" t="s">
        <v>29</v>
      </c>
      <c r="AL99" s="276"/>
      <c r="AM99" s="1504" t="s">
        <v>636</v>
      </c>
      <c r="AN99" s="1505"/>
      <c r="AO99" s="1506"/>
      <c r="AP99" s="817"/>
      <c r="AQ99" s="818"/>
      <c r="AR99" s="1184" t="s">
        <v>29</v>
      </c>
      <c r="AS99" s="167"/>
      <c r="AT99" s="1146"/>
    </row>
    <row r="100" spans="1:47" ht="15.6" hidden="1" customHeight="1" x14ac:dyDescent="0.25">
      <c r="A100" s="1146"/>
      <c r="B100" s="1531"/>
      <c r="C100" s="1504" t="s">
        <v>636</v>
      </c>
      <c r="D100" s="1505"/>
      <c r="E100" s="1506"/>
      <c r="F100" s="817"/>
      <c r="G100" s="862"/>
      <c r="H100" s="1184" t="s">
        <v>29</v>
      </c>
      <c r="I100" s="276"/>
      <c r="J100" s="1504" t="s">
        <v>636</v>
      </c>
      <c r="K100" s="1505"/>
      <c r="L100" s="1506"/>
      <c r="M100" s="817"/>
      <c r="N100" s="818"/>
      <c r="O100" s="554" t="s">
        <v>29</v>
      </c>
      <c r="P100" s="276"/>
      <c r="Q100" s="1504" t="s">
        <v>636</v>
      </c>
      <c r="R100" s="1505"/>
      <c r="S100" s="1506"/>
      <c r="T100" s="817"/>
      <c r="U100" s="818"/>
      <c r="V100" s="1184" t="s">
        <v>29</v>
      </c>
      <c r="W100" s="348"/>
      <c r="X100" s="1531"/>
      <c r="Y100" s="1504" t="s">
        <v>636</v>
      </c>
      <c r="Z100" s="1505"/>
      <c r="AA100" s="1506"/>
      <c r="AB100" s="817"/>
      <c r="AC100" s="862"/>
      <c r="AD100" s="1184" t="s">
        <v>29</v>
      </c>
      <c r="AE100" s="276"/>
      <c r="AF100" s="1504" t="s">
        <v>636</v>
      </c>
      <c r="AG100" s="1505"/>
      <c r="AH100" s="1506"/>
      <c r="AI100" s="817"/>
      <c r="AJ100" s="818"/>
      <c r="AK100" s="554" t="s">
        <v>29</v>
      </c>
      <c r="AL100" s="276"/>
      <c r="AM100" s="1504" t="s">
        <v>636</v>
      </c>
      <c r="AN100" s="1505"/>
      <c r="AO100" s="1506"/>
      <c r="AP100" s="817"/>
      <c r="AQ100" s="818"/>
      <c r="AR100" s="1184" t="s">
        <v>29</v>
      </c>
      <c r="AS100" s="348"/>
      <c r="AT100" s="1146"/>
      <c r="AU100" s="1097"/>
    </row>
    <row r="101" spans="1:47" ht="15.6" hidden="1" customHeight="1" x14ac:dyDescent="0.25">
      <c r="A101" s="1150"/>
      <c r="B101" s="1531"/>
      <c r="C101" s="1504" t="s">
        <v>636</v>
      </c>
      <c r="D101" s="1505"/>
      <c r="E101" s="1506"/>
      <c r="F101" s="817"/>
      <c r="G101" s="862"/>
      <c r="H101" s="1184" t="s">
        <v>29</v>
      </c>
      <c r="I101" s="276"/>
      <c r="J101" s="1504" t="s">
        <v>636</v>
      </c>
      <c r="K101" s="1505"/>
      <c r="L101" s="1506"/>
      <c r="M101" s="817"/>
      <c r="N101" s="818"/>
      <c r="O101" s="554" t="s">
        <v>29</v>
      </c>
      <c r="P101" s="276"/>
      <c r="Q101" s="1504" t="s">
        <v>636</v>
      </c>
      <c r="R101" s="1505"/>
      <c r="S101" s="1506"/>
      <c r="T101" s="817"/>
      <c r="U101" s="818"/>
      <c r="V101" s="1184" t="s">
        <v>29</v>
      </c>
      <c r="W101" s="348"/>
      <c r="X101" s="1531"/>
      <c r="Y101" s="1504" t="s">
        <v>636</v>
      </c>
      <c r="Z101" s="1505"/>
      <c r="AA101" s="1506"/>
      <c r="AB101" s="817"/>
      <c r="AC101" s="862"/>
      <c r="AD101" s="1184" t="s">
        <v>29</v>
      </c>
      <c r="AE101" s="276"/>
      <c r="AF101" s="1504" t="s">
        <v>636</v>
      </c>
      <c r="AG101" s="1505"/>
      <c r="AH101" s="1506"/>
      <c r="AI101" s="817"/>
      <c r="AJ101" s="818"/>
      <c r="AK101" s="554" t="s">
        <v>29</v>
      </c>
      <c r="AL101" s="276"/>
      <c r="AM101" s="1504" t="s">
        <v>636</v>
      </c>
      <c r="AN101" s="1505"/>
      <c r="AO101" s="1506"/>
      <c r="AP101" s="817"/>
      <c r="AQ101" s="818"/>
      <c r="AR101" s="1184" t="s">
        <v>29</v>
      </c>
      <c r="AS101" s="348"/>
      <c r="AT101" s="1150"/>
      <c r="AU101" s="1097"/>
    </row>
    <row r="102" spans="1:47" ht="15.6" hidden="1" customHeight="1" x14ac:dyDescent="0.25">
      <c r="A102" s="1150"/>
      <c r="B102" s="1531"/>
      <c r="C102" s="1504" t="s">
        <v>636</v>
      </c>
      <c r="D102" s="1505"/>
      <c r="E102" s="1506"/>
      <c r="F102" s="817"/>
      <c r="G102" s="862"/>
      <c r="H102" s="1184" t="s">
        <v>29</v>
      </c>
      <c r="I102" s="276"/>
      <c r="J102" s="1504" t="s">
        <v>636</v>
      </c>
      <c r="K102" s="1505"/>
      <c r="L102" s="1506"/>
      <c r="M102" s="817"/>
      <c r="N102" s="818"/>
      <c r="O102" s="554" t="s">
        <v>29</v>
      </c>
      <c r="P102" s="276"/>
      <c r="Q102" s="1504" t="s">
        <v>636</v>
      </c>
      <c r="R102" s="1505"/>
      <c r="S102" s="1506"/>
      <c r="T102" s="817"/>
      <c r="U102" s="818"/>
      <c r="V102" s="1184" t="s">
        <v>29</v>
      </c>
      <c r="W102" s="348"/>
      <c r="X102" s="1531"/>
      <c r="Y102" s="1504" t="s">
        <v>636</v>
      </c>
      <c r="Z102" s="1505"/>
      <c r="AA102" s="1506"/>
      <c r="AB102" s="817"/>
      <c r="AC102" s="862"/>
      <c r="AD102" s="1184" t="s">
        <v>29</v>
      </c>
      <c r="AE102" s="276"/>
      <c r="AF102" s="1504" t="s">
        <v>636</v>
      </c>
      <c r="AG102" s="1505"/>
      <c r="AH102" s="1506"/>
      <c r="AI102" s="817"/>
      <c r="AJ102" s="818"/>
      <c r="AK102" s="554" t="s">
        <v>29</v>
      </c>
      <c r="AL102" s="276"/>
      <c r="AM102" s="1504" t="s">
        <v>636</v>
      </c>
      <c r="AN102" s="1505"/>
      <c r="AO102" s="1506"/>
      <c r="AP102" s="817"/>
      <c r="AQ102" s="818"/>
      <c r="AR102" s="1184" t="s">
        <v>29</v>
      </c>
      <c r="AS102" s="348"/>
      <c r="AT102" s="1150"/>
      <c r="AU102" s="1097"/>
    </row>
    <row r="103" spans="1:47" ht="15.6" hidden="1" customHeight="1" x14ac:dyDescent="0.25">
      <c r="A103" s="1150"/>
      <c r="B103" s="1531"/>
      <c r="C103" s="1504" t="s">
        <v>636</v>
      </c>
      <c r="D103" s="1505"/>
      <c r="E103" s="1506"/>
      <c r="F103" s="817"/>
      <c r="G103" s="862"/>
      <c r="H103" s="1184" t="s">
        <v>29</v>
      </c>
      <c r="I103" s="276"/>
      <c r="J103" s="1504" t="s">
        <v>636</v>
      </c>
      <c r="K103" s="1505"/>
      <c r="L103" s="1506"/>
      <c r="M103" s="817"/>
      <c r="N103" s="818"/>
      <c r="O103" s="554" t="s">
        <v>29</v>
      </c>
      <c r="P103" s="276"/>
      <c r="Q103" s="1504" t="s">
        <v>636</v>
      </c>
      <c r="R103" s="1505"/>
      <c r="S103" s="1506"/>
      <c r="T103" s="817"/>
      <c r="U103" s="818"/>
      <c r="V103" s="1184" t="s">
        <v>29</v>
      </c>
      <c r="W103" s="348"/>
      <c r="X103" s="1531"/>
      <c r="Y103" s="1504" t="s">
        <v>636</v>
      </c>
      <c r="Z103" s="1505"/>
      <c r="AA103" s="1506"/>
      <c r="AB103" s="817"/>
      <c r="AC103" s="862"/>
      <c r="AD103" s="1184" t="s">
        <v>29</v>
      </c>
      <c r="AE103" s="276"/>
      <c r="AF103" s="1504" t="s">
        <v>636</v>
      </c>
      <c r="AG103" s="1505"/>
      <c r="AH103" s="1506"/>
      <c r="AI103" s="817"/>
      <c r="AJ103" s="818"/>
      <c r="AK103" s="554" t="s">
        <v>29</v>
      </c>
      <c r="AL103" s="276"/>
      <c r="AM103" s="1504" t="s">
        <v>636</v>
      </c>
      <c r="AN103" s="1505"/>
      <c r="AO103" s="1506"/>
      <c r="AP103" s="817"/>
      <c r="AQ103" s="818"/>
      <c r="AR103" s="1184" t="s">
        <v>29</v>
      </c>
      <c r="AS103" s="348"/>
      <c r="AT103" s="1150"/>
      <c r="AU103" s="1097"/>
    </row>
    <row r="104" spans="1:47" ht="15.6" hidden="1" customHeight="1" x14ac:dyDescent="0.25">
      <c r="A104" s="1150"/>
      <c r="B104" s="1531"/>
      <c r="C104" s="1504" t="s">
        <v>636</v>
      </c>
      <c r="D104" s="1505"/>
      <c r="E104" s="1506"/>
      <c r="F104" s="817"/>
      <c r="G104" s="862"/>
      <c r="H104" s="1184" t="s">
        <v>29</v>
      </c>
      <c r="I104" s="276"/>
      <c r="J104" s="1504" t="s">
        <v>636</v>
      </c>
      <c r="K104" s="1505"/>
      <c r="L104" s="1506"/>
      <c r="M104" s="817"/>
      <c r="N104" s="818"/>
      <c r="O104" s="554" t="s">
        <v>29</v>
      </c>
      <c r="P104" s="276"/>
      <c r="Q104" s="1504" t="s">
        <v>636</v>
      </c>
      <c r="R104" s="1505"/>
      <c r="S104" s="1506"/>
      <c r="T104" s="817"/>
      <c r="U104" s="818"/>
      <c r="V104" s="1184" t="s">
        <v>29</v>
      </c>
      <c r="W104" s="348"/>
      <c r="X104" s="1531"/>
      <c r="Y104" s="1504" t="s">
        <v>636</v>
      </c>
      <c r="Z104" s="1505"/>
      <c r="AA104" s="1506"/>
      <c r="AB104" s="817"/>
      <c r="AC104" s="862"/>
      <c r="AD104" s="1184" t="s">
        <v>29</v>
      </c>
      <c r="AE104" s="276"/>
      <c r="AF104" s="1504" t="s">
        <v>636</v>
      </c>
      <c r="AG104" s="1505"/>
      <c r="AH104" s="1506"/>
      <c r="AI104" s="817"/>
      <c r="AJ104" s="818"/>
      <c r="AK104" s="554" t="s">
        <v>29</v>
      </c>
      <c r="AL104" s="276"/>
      <c r="AM104" s="1504" t="s">
        <v>636</v>
      </c>
      <c r="AN104" s="1505"/>
      <c r="AO104" s="1506"/>
      <c r="AP104" s="817"/>
      <c r="AQ104" s="818"/>
      <c r="AR104" s="1184" t="s">
        <v>29</v>
      </c>
      <c r="AS104" s="348"/>
      <c r="AT104" s="1150"/>
      <c r="AU104" s="1097"/>
    </row>
    <row r="105" spans="1:47" ht="15.6" customHeight="1" x14ac:dyDescent="0.25">
      <c r="A105" s="1150"/>
      <c r="B105" s="1531"/>
      <c r="C105" s="1507" t="s">
        <v>840</v>
      </c>
      <c r="D105" s="1507"/>
      <c r="E105" s="1507"/>
      <c r="F105" s="1189">
        <v>120</v>
      </c>
      <c r="G105" s="887" t="s">
        <v>32</v>
      </c>
      <c r="H105" s="382"/>
      <c r="I105" s="276"/>
      <c r="J105" s="1507" t="s">
        <v>840</v>
      </c>
      <c r="K105" s="1507"/>
      <c r="L105" s="1507"/>
      <c r="M105" s="1189">
        <v>120</v>
      </c>
      <c r="N105" s="887" t="s">
        <v>32</v>
      </c>
      <c r="O105" s="801"/>
      <c r="P105" s="276"/>
      <c r="Q105" s="1507" t="s">
        <v>840</v>
      </c>
      <c r="R105" s="1507"/>
      <c r="S105" s="1507"/>
      <c r="T105" s="1189">
        <v>120</v>
      </c>
      <c r="U105" s="887" t="s">
        <v>32</v>
      </c>
      <c r="V105" s="276"/>
      <c r="W105" s="348"/>
      <c r="X105" s="1531"/>
      <c r="Y105" s="1507" t="s">
        <v>840</v>
      </c>
      <c r="Z105" s="1507"/>
      <c r="AA105" s="1507"/>
      <c r="AB105" s="1189">
        <v>120</v>
      </c>
      <c r="AC105" s="887" t="s">
        <v>32</v>
      </c>
      <c r="AD105" s="382"/>
      <c r="AE105" s="276"/>
      <c r="AF105" s="1507" t="s">
        <v>840</v>
      </c>
      <c r="AG105" s="1507"/>
      <c r="AH105" s="1507"/>
      <c r="AI105" s="1189">
        <v>120</v>
      </c>
      <c r="AJ105" s="887" t="s">
        <v>32</v>
      </c>
      <c r="AK105" s="801"/>
      <c r="AL105" s="276"/>
      <c r="AM105" s="1507" t="s">
        <v>840</v>
      </c>
      <c r="AN105" s="1507"/>
      <c r="AO105" s="1507"/>
      <c r="AP105" s="1189">
        <v>120</v>
      </c>
      <c r="AQ105" s="887" t="s">
        <v>32</v>
      </c>
      <c r="AR105" s="276"/>
      <c r="AS105" s="348"/>
      <c r="AT105" s="1150"/>
      <c r="AU105" s="1097"/>
    </row>
    <row r="106" spans="1:47" ht="15.6" customHeight="1" x14ac:dyDescent="0.25">
      <c r="A106" s="1151"/>
      <c r="B106" s="1531"/>
      <c r="C106" s="1510" t="s">
        <v>842</v>
      </c>
      <c r="D106" s="1508"/>
      <c r="E106" s="1508"/>
      <c r="F106" s="1509"/>
      <c r="G106" s="386">
        <v>65.17</v>
      </c>
      <c r="H106" s="51" t="s">
        <v>765</v>
      </c>
      <c r="I106" s="276"/>
      <c r="J106" s="1510" t="s">
        <v>843</v>
      </c>
      <c r="K106" s="1508"/>
      <c r="L106" s="1508"/>
      <c r="M106" s="1509"/>
      <c r="N106" s="386">
        <v>55.83</v>
      </c>
      <c r="O106" s="51" t="s">
        <v>761</v>
      </c>
      <c r="P106" s="387"/>
      <c r="Q106" s="1510" t="s">
        <v>844</v>
      </c>
      <c r="R106" s="1508"/>
      <c r="S106" s="1508"/>
      <c r="T106" s="1509"/>
      <c r="U106" s="386">
        <v>73.67</v>
      </c>
      <c r="V106" s="51" t="s">
        <v>768</v>
      </c>
      <c r="W106" s="888"/>
      <c r="X106" s="1531"/>
      <c r="Y106" s="1510" t="s">
        <v>842</v>
      </c>
      <c r="Z106" s="1508"/>
      <c r="AA106" s="1508"/>
      <c r="AB106" s="1509"/>
      <c r="AC106" s="386">
        <v>42.25</v>
      </c>
      <c r="AD106" s="51" t="s">
        <v>755</v>
      </c>
      <c r="AE106" s="276"/>
      <c r="AF106" s="1510" t="s">
        <v>843</v>
      </c>
      <c r="AG106" s="1508"/>
      <c r="AH106" s="1508"/>
      <c r="AI106" s="1509"/>
      <c r="AJ106" s="386">
        <v>53</v>
      </c>
      <c r="AK106" s="51" t="s">
        <v>760</v>
      </c>
      <c r="AL106" s="387"/>
      <c r="AM106" s="1510" t="s">
        <v>844</v>
      </c>
      <c r="AN106" s="1508"/>
      <c r="AO106" s="1508"/>
      <c r="AP106" s="1509"/>
      <c r="AQ106" s="386">
        <v>69.88</v>
      </c>
      <c r="AR106" s="51" t="s">
        <v>766</v>
      </c>
      <c r="AS106" s="888"/>
      <c r="AT106" s="1151"/>
      <c r="AU106" s="1193"/>
    </row>
    <row r="107" spans="1:47" ht="15.6" customHeight="1" x14ac:dyDescent="0.25">
      <c r="A107" s="1149"/>
      <c r="B107" s="1531"/>
      <c r="C107" s="398"/>
      <c r="D107" s="398"/>
      <c r="E107" s="398"/>
      <c r="F107" s="276"/>
      <c r="G107" s="276"/>
      <c r="H107" s="276"/>
      <c r="I107" s="1189"/>
      <c r="J107" s="276"/>
      <c r="K107" s="276"/>
      <c r="L107" s="276"/>
      <c r="M107" s="398"/>
      <c r="N107" s="399"/>
      <c r="O107" s="276"/>
      <c r="P107" s="387"/>
      <c r="Q107" s="400"/>
      <c r="R107" s="400"/>
      <c r="S107" s="400"/>
      <c r="T107" s="1189"/>
      <c r="U107" s="260"/>
      <c r="V107" s="260"/>
      <c r="W107" s="888"/>
      <c r="X107" s="1531"/>
      <c r="Y107" s="398"/>
      <c r="Z107" s="398"/>
      <c r="AA107" s="398"/>
      <c r="AB107" s="276"/>
      <c r="AC107" s="276"/>
      <c r="AD107" s="276"/>
      <c r="AE107" s="1189"/>
      <c r="AF107" s="276"/>
      <c r="AG107" s="276"/>
      <c r="AH107" s="276"/>
      <c r="AI107" s="398"/>
      <c r="AJ107" s="399"/>
      <c r="AK107" s="276"/>
      <c r="AL107" s="387"/>
      <c r="AM107" s="400"/>
      <c r="AN107" s="400"/>
      <c r="AO107" s="400"/>
      <c r="AP107" s="1189"/>
      <c r="AQ107" s="260"/>
      <c r="AR107" s="260"/>
      <c r="AS107" s="888"/>
      <c r="AT107" s="1149"/>
      <c r="AU107" s="1193"/>
    </row>
    <row r="108" spans="1:47" ht="15.6" customHeight="1" x14ac:dyDescent="0.25">
      <c r="A108" s="1152"/>
      <c r="B108" s="1531"/>
      <c r="C108" s="1536" t="s">
        <v>1143</v>
      </c>
      <c r="D108" s="1511"/>
      <c r="E108" s="1511"/>
      <c r="F108" s="1140">
        <v>64.75</v>
      </c>
      <c r="G108" s="1139"/>
      <c r="H108" s="1139"/>
      <c r="I108" s="1139"/>
      <c r="J108" s="1139"/>
      <c r="K108" s="1139"/>
      <c r="L108" s="1139"/>
      <c r="M108" s="1139"/>
      <c r="N108" s="1139"/>
      <c r="O108" s="1139"/>
      <c r="P108" s="1139"/>
      <c r="Q108" s="1139"/>
      <c r="R108" s="1139"/>
      <c r="S108" s="1139"/>
      <c r="T108" s="1115" t="s">
        <v>848</v>
      </c>
      <c r="U108" s="406">
        <v>64.89</v>
      </c>
      <c r="V108" s="407" t="s">
        <v>764</v>
      </c>
      <c r="W108" s="888"/>
      <c r="X108" s="1531"/>
      <c r="Y108" s="1536" t="s">
        <v>1143</v>
      </c>
      <c r="Z108" s="1511"/>
      <c r="AA108" s="1511"/>
      <c r="AB108" s="1140">
        <v>61.44</v>
      </c>
      <c r="AC108" s="1139"/>
      <c r="AD108" s="1139"/>
      <c r="AE108" s="1139"/>
      <c r="AF108" s="1139"/>
      <c r="AG108" s="1139"/>
      <c r="AH108" s="1139"/>
      <c r="AI108" s="1139"/>
      <c r="AJ108" s="1139"/>
      <c r="AK108" s="1139"/>
      <c r="AL108" s="1139"/>
      <c r="AM108" s="1139"/>
      <c r="AN108" s="1139"/>
      <c r="AO108" s="1139"/>
      <c r="AP108" s="1115" t="s">
        <v>848</v>
      </c>
      <c r="AQ108" s="406">
        <v>55.04</v>
      </c>
      <c r="AR108" s="407" t="s">
        <v>761</v>
      </c>
      <c r="AS108" s="888"/>
      <c r="AT108" s="1152"/>
      <c r="AU108" s="1097"/>
    </row>
    <row r="109" spans="1:47" ht="15.6" customHeight="1" x14ac:dyDescent="0.25">
      <c r="A109" s="1149"/>
      <c r="B109" s="1531"/>
      <c r="C109" s="132"/>
      <c r="D109" s="132"/>
      <c r="E109" s="132"/>
      <c r="F109" s="801"/>
      <c r="G109" s="801"/>
      <c r="H109" s="801"/>
      <c r="I109" s="40"/>
      <c r="J109" s="801"/>
      <c r="K109" s="801"/>
      <c r="L109" s="801"/>
      <c r="M109" s="132"/>
      <c r="N109" s="411"/>
      <c r="O109" s="801"/>
      <c r="P109" s="342"/>
      <c r="Q109" s="412"/>
      <c r="R109" s="412"/>
      <c r="S109" s="412"/>
      <c r="T109" s="433"/>
      <c r="U109" s="783"/>
      <c r="V109" s="373"/>
      <c r="W109" s="888"/>
      <c r="X109" s="1531"/>
      <c r="Y109" s="132"/>
      <c r="Z109" s="132"/>
      <c r="AA109" s="132"/>
      <c r="AB109" s="801"/>
      <c r="AC109" s="801"/>
      <c r="AD109" s="801"/>
      <c r="AE109" s="40"/>
      <c r="AF109" s="801"/>
      <c r="AG109" s="801"/>
      <c r="AH109" s="801"/>
      <c r="AI109" s="132"/>
      <c r="AJ109" s="411"/>
      <c r="AK109" s="801"/>
      <c r="AL109" s="342"/>
      <c r="AM109" s="412"/>
      <c r="AN109" s="412"/>
      <c r="AO109" s="412"/>
      <c r="AP109" s="433"/>
      <c r="AQ109" s="783"/>
      <c r="AR109" s="373"/>
      <c r="AS109" s="888"/>
      <c r="AT109" s="1149"/>
      <c r="AU109" s="1097"/>
    </row>
    <row r="110" spans="1:47" ht="15.6" customHeight="1" x14ac:dyDescent="0.25">
      <c r="A110" s="1153"/>
      <c r="B110" s="1531"/>
      <c r="C110" s="1181" t="s">
        <v>852</v>
      </c>
      <c r="D110" s="1182"/>
      <c r="E110" s="1182"/>
      <c r="F110" s="1182"/>
      <c r="G110" s="1182"/>
      <c r="H110" s="1077"/>
      <c r="I110" s="1182"/>
      <c r="J110" s="1183"/>
      <c r="K110" s="1487" t="s">
        <v>950</v>
      </c>
      <c r="L110" s="1488"/>
      <c r="M110" s="1488"/>
      <c r="N110" s="1489"/>
      <c r="O110" s="1490" t="s">
        <v>807</v>
      </c>
      <c r="P110" s="1491"/>
      <c r="Q110" s="1494" t="s">
        <v>992</v>
      </c>
      <c r="R110" s="1495"/>
      <c r="S110" s="1498" t="s">
        <v>993</v>
      </c>
      <c r="T110" s="801"/>
      <c r="U110" s="784"/>
      <c r="V110" s="373"/>
      <c r="W110" s="888"/>
      <c r="X110" s="1531"/>
      <c r="Y110" s="1181" t="s">
        <v>852</v>
      </c>
      <c r="Z110" s="1182"/>
      <c r="AA110" s="1182"/>
      <c r="AB110" s="1182"/>
      <c r="AC110" s="1182"/>
      <c r="AD110" s="1077"/>
      <c r="AE110" s="1182"/>
      <c r="AF110" s="1183"/>
      <c r="AG110" s="1487" t="s">
        <v>950</v>
      </c>
      <c r="AH110" s="1488"/>
      <c r="AI110" s="1488"/>
      <c r="AJ110" s="1489"/>
      <c r="AK110" s="1490" t="s">
        <v>807</v>
      </c>
      <c r="AL110" s="1491"/>
      <c r="AM110" s="1494" t="s">
        <v>992</v>
      </c>
      <c r="AN110" s="1495"/>
      <c r="AO110" s="1498" t="s">
        <v>993</v>
      </c>
      <c r="AP110" s="801"/>
      <c r="AQ110" s="784"/>
      <c r="AR110" s="373"/>
      <c r="AS110" s="888"/>
      <c r="AT110" s="1153"/>
      <c r="AU110" s="1097"/>
    </row>
    <row r="111" spans="1:47" ht="15.6" customHeight="1" x14ac:dyDescent="0.25">
      <c r="A111" s="1146"/>
      <c r="B111" s="1531"/>
      <c r="C111" s="1078" t="s">
        <v>955</v>
      </c>
      <c r="D111" s="1030"/>
      <c r="E111" s="1045"/>
      <c r="F111" s="1079"/>
      <c r="G111" s="1080" t="s">
        <v>948</v>
      </c>
      <c r="H111" s="1082" t="s">
        <v>1127</v>
      </c>
      <c r="I111" s="1500" t="s">
        <v>991</v>
      </c>
      <c r="J111" s="1501"/>
      <c r="K111" s="1188" t="s">
        <v>13</v>
      </c>
      <c r="L111" s="698" t="s">
        <v>14</v>
      </c>
      <c r="M111" s="698" t="s">
        <v>15</v>
      </c>
      <c r="N111" s="698" t="s">
        <v>949</v>
      </c>
      <c r="O111" s="1492"/>
      <c r="P111" s="1493"/>
      <c r="Q111" s="1496"/>
      <c r="R111" s="1497"/>
      <c r="S111" s="1499"/>
      <c r="T111" s="801"/>
      <c r="U111" s="801"/>
      <c r="V111" s="801"/>
      <c r="W111" s="888"/>
      <c r="X111" s="1531"/>
      <c r="Y111" s="1078" t="s">
        <v>955</v>
      </c>
      <c r="Z111" s="1030"/>
      <c r="AA111" s="1045"/>
      <c r="AB111" s="1079"/>
      <c r="AC111" s="1080" t="s">
        <v>948</v>
      </c>
      <c r="AD111" s="1082" t="s">
        <v>1127</v>
      </c>
      <c r="AE111" s="1500" t="s">
        <v>991</v>
      </c>
      <c r="AF111" s="1501"/>
      <c r="AG111" s="1188" t="s">
        <v>13</v>
      </c>
      <c r="AH111" s="698" t="s">
        <v>14</v>
      </c>
      <c r="AI111" s="698" t="s">
        <v>15</v>
      </c>
      <c r="AJ111" s="698" t="s">
        <v>949</v>
      </c>
      <c r="AK111" s="1492"/>
      <c r="AL111" s="1493"/>
      <c r="AM111" s="1496"/>
      <c r="AN111" s="1497"/>
      <c r="AO111" s="1499"/>
      <c r="AP111" s="801"/>
      <c r="AQ111" s="801"/>
      <c r="AR111" s="801"/>
      <c r="AS111" s="888"/>
      <c r="AT111" s="1146"/>
      <c r="AU111" s="1097"/>
    </row>
    <row r="112" spans="1:47" ht="15.6" customHeight="1" x14ac:dyDescent="0.25">
      <c r="A112" s="1154"/>
      <c r="B112" s="1531"/>
      <c r="C112" s="690" t="s">
        <v>945</v>
      </c>
      <c r="D112" s="692"/>
      <c r="E112" s="692"/>
      <c r="F112" s="692"/>
      <c r="G112" s="313"/>
      <c r="H112" s="313"/>
      <c r="I112" s="312"/>
      <c r="J112" s="313"/>
      <c r="K112" s="313"/>
      <c r="L112" s="313"/>
      <c r="M112" s="702"/>
      <c r="N112" s="1044"/>
      <c r="O112" s="1044"/>
      <c r="P112" s="424"/>
      <c r="Q112" s="702"/>
      <c r="R112" s="702"/>
      <c r="S112" s="1081"/>
      <c r="T112" s="1078"/>
      <c r="U112" s="1502" t="s">
        <v>1129</v>
      </c>
      <c r="V112" s="1502"/>
      <c r="W112" s="888"/>
      <c r="X112" s="1531"/>
      <c r="Y112" s="690" t="s">
        <v>945</v>
      </c>
      <c r="Z112" s="692"/>
      <c r="AA112" s="692"/>
      <c r="AB112" s="692"/>
      <c r="AC112" s="313"/>
      <c r="AD112" s="313"/>
      <c r="AE112" s="312"/>
      <c r="AF112" s="313"/>
      <c r="AG112" s="313"/>
      <c r="AH112" s="313"/>
      <c r="AI112" s="702"/>
      <c r="AJ112" s="1044"/>
      <c r="AK112" s="1044"/>
      <c r="AL112" s="424"/>
      <c r="AM112" s="702"/>
      <c r="AN112" s="702"/>
      <c r="AO112" s="1081"/>
      <c r="AP112" s="1078"/>
      <c r="AQ112" s="1502" t="s">
        <v>1129</v>
      </c>
      <c r="AR112" s="1502"/>
      <c r="AS112" s="888"/>
      <c r="AT112" s="1154"/>
      <c r="AU112" s="1097"/>
    </row>
    <row r="113" spans="1:47" ht="15.6" customHeight="1" x14ac:dyDescent="0.25">
      <c r="A113" s="1147"/>
      <c r="B113" s="1531"/>
      <c r="C113" s="431" t="s">
        <v>28</v>
      </c>
      <c r="D113" s="687"/>
      <c r="E113" s="687"/>
      <c r="F113" s="687"/>
      <c r="G113" s="689">
        <v>1</v>
      </c>
      <c r="H113" s="1083">
        <v>1</v>
      </c>
      <c r="I113" s="1472">
        <v>360</v>
      </c>
      <c r="J113" s="1472"/>
      <c r="K113" s="618">
        <v>0</v>
      </c>
      <c r="L113" s="618">
        <v>0</v>
      </c>
      <c r="M113" s="618">
        <v>0</v>
      </c>
      <c r="N113" s="618">
        <v>0</v>
      </c>
      <c r="O113" s="1466" t="s">
        <v>1128</v>
      </c>
      <c r="P113" s="1466"/>
      <c r="Q113" s="1473">
        <v>68.680000000000007</v>
      </c>
      <c r="R113" s="1474"/>
      <c r="S113" s="707" t="s">
        <v>32</v>
      </c>
      <c r="T113" s="132"/>
      <c r="U113" s="1502"/>
      <c r="V113" s="1502"/>
      <c r="W113" s="1098"/>
      <c r="X113" s="1531"/>
      <c r="Y113" s="431" t="s">
        <v>28</v>
      </c>
      <c r="Z113" s="687"/>
      <c r="AA113" s="687"/>
      <c r="AB113" s="687"/>
      <c r="AC113" s="689">
        <v>1</v>
      </c>
      <c r="AD113" s="1083">
        <v>1</v>
      </c>
      <c r="AE113" s="1472">
        <v>360</v>
      </c>
      <c r="AF113" s="1472"/>
      <c r="AG113" s="618">
        <v>0</v>
      </c>
      <c r="AH113" s="618">
        <v>0</v>
      </c>
      <c r="AI113" s="618">
        <v>0</v>
      </c>
      <c r="AJ113" s="618">
        <v>0</v>
      </c>
      <c r="AK113" s="1466" t="s">
        <v>1128</v>
      </c>
      <c r="AL113" s="1466"/>
      <c r="AM113" s="1473">
        <v>62.47</v>
      </c>
      <c r="AN113" s="1474"/>
      <c r="AO113" s="707">
        <v>0</v>
      </c>
      <c r="AP113" s="132"/>
      <c r="AQ113" s="1502"/>
      <c r="AR113" s="1502"/>
      <c r="AS113" s="1098"/>
      <c r="AT113" s="1147"/>
      <c r="AU113" s="1097"/>
    </row>
    <row r="114" spans="1:47" ht="15.6" customHeight="1" x14ac:dyDescent="0.25">
      <c r="A114" s="1146"/>
      <c r="B114" s="1531"/>
      <c r="C114" s="431" t="s">
        <v>59</v>
      </c>
      <c r="D114" s="687"/>
      <c r="E114" s="687"/>
      <c r="F114" s="687"/>
      <c r="G114" s="685">
        <v>1</v>
      </c>
      <c r="H114" s="1084">
        <v>1</v>
      </c>
      <c r="I114" s="1477">
        <v>360</v>
      </c>
      <c r="J114" s="1477"/>
      <c r="K114" s="684">
        <v>0</v>
      </c>
      <c r="L114" s="684">
        <v>0</v>
      </c>
      <c r="M114" s="684">
        <v>0</v>
      </c>
      <c r="N114" s="684">
        <v>0</v>
      </c>
      <c r="O114" s="1466" t="s">
        <v>1128</v>
      </c>
      <c r="P114" s="1466"/>
      <c r="Q114" s="1467">
        <v>70.040000000000006</v>
      </c>
      <c r="R114" s="1468"/>
      <c r="S114" s="707">
        <v>0</v>
      </c>
      <c r="T114" s="706">
        <v>0</v>
      </c>
      <c r="U114" s="1503"/>
      <c r="V114" s="1503"/>
      <c r="W114" s="1190"/>
      <c r="X114" s="1531"/>
      <c r="Y114" s="431" t="s">
        <v>59</v>
      </c>
      <c r="Z114" s="687"/>
      <c r="AA114" s="687"/>
      <c r="AB114" s="687"/>
      <c r="AC114" s="685">
        <v>1</v>
      </c>
      <c r="AD114" s="1084">
        <v>1</v>
      </c>
      <c r="AE114" s="1477">
        <v>360</v>
      </c>
      <c r="AF114" s="1477"/>
      <c r="AG114" s="684">
        <v>0</v>
      </c>
      <c r="AH114" s="684">
        <v>0</v>
      </c>
      <c r="AI114" s="684">
        <v>0</v>
      </c>
      <c r="AJ114" s="684">
        <v>0</v>
      </c>
      <c r="AK114" s="1466" t="s">
        <v>1128</v>
      </c>
      <c r="AL114" s="1466"/>
      <c r="AM114" s="1467">
        <v>63.51</v>
      </c>
      <c r="AN114" s="1468"/>
      <c r="AO114" s="707">
        <v>0</v>
      </c>
      <c r="AP114" s="706">
        <v>0</v>
      </c>
      <c r="AQ114" s="1503"/>
      <c r="AR114" s="1503"/>
      <c r="AS114" s="1190"/>
      <c r="AT114" s="1146"/>
      <c r="AU114" s="1097"/>
    </row>
    <row r="115" spans="1:47" ht="15.6" customHeight="1" x14ac:dyDescent="0.25">
      <c r="A115" s="1146"/>
      <c r="B115" s="1531"/>
      <c r="C115" s="431" t="s">
        <v>34</v>
      </c>
      <c r="D115" s="687"/>
      <c r="E115" s="687"/>
      <c r="F115" s="687"/>
      <c r="G115" s="686">
        <v>2</v>
      </c>
      <c r="H115" s="1085">
        <v>2</v>
      </c>
      <c r="I115" s="1477">
        <v>360</v>
      </c>
      <c r="J115" s="1477"/>
      <c r="K115" s="684">
        <v>0</v>
      </c>
      <c r="L115" s="684">
        <v>0</v>
      </c>
      <c r="M115" s="684">
        <v>0</v>
      </c>
      <c r="N115" s="684">
        <v>0</v>
      </c>
      <c r="O115" s="1477" t="s">
        <v>38</v>
      </c>
      <c r="P115" s="1477"/>
      <c r="Q115" s="1467">
        <v>67.47</v>
      </c>
      <c r="R115" s="1468"/>
      <c r="S115" s="707">
        <v>0</v>
      </c>
      <c r="T115" s="132"/>
      <c r="U115" s="196" t="s">
        <v>781</v>
      </c>
      <c r="V115" s="196">
        <v>40</v>
      </c>
      <c r="W115" s="348"/>
      <c r="X115" s="1531"/>
      <c r="Y115" s="431" t="s">
        <v>34</v>
      </c>
      <c r="Z115" s="687"/>
      <c r="AA115" s="687"/>
      <c r="AB115" s="687"/>
      <c r="AC115" s="686">
        <v>2</v>
      </c>
      <c r="AD115" s="1085">
        <v>2</v>
      </c>
      <c r="AE115" s="1477">
        <v>360</v>
      </c>
      <c r="AF115" s="1477"/>
      <c r="AG115" s="684">
        <v>0</v>
      </c>
      <c r="AH115" s="684">
        <v>0</v>
      </c>
      <c r="AI115" s="684">
        <v>0</v>
      </c>
      <c r="AJ115" s="684">
        <v>0</v>
      </c>
      <c r="AK115" s="1477" t="s">
        <v>38</v>
      </c>
      <c r="AL115" s="1477"/>
      <c r="AM115" s="1467">
        <v>62.05</v>
      </c>
      <c r="AN115" s="1468"/>
      <c r="AO115" s="707">
        <v>0</v>
      </c>
      <c r="AP115" s="132"/>
      <c r="AQ115" s="196" t="s">
        <v>781</v>
      </c>
      <c r="AR115" s="196">
        <v>4</v>
      </c>
      <c r="AS115" s="348"/>
      <c r="AT115" s="1146"/>
      <c r="AU115" s="1097"/>
    </row>
    <row r="116" spans="1:47" ht="15.6" customHeight="1" x14ac:dyDescent="0.25">
      <c r="A116" s="1146"/>
      <c r="B116" s="1531"/>
      <c r="C116" s="431" t="s">
        <v>44</v>
      </c>
      <c r="D116" s="687"/>
      <c r="E116" s="687"/>
      <c r="F116" s="687"/>
      <c r="G116" s="686">
        <v>3</v>
      </c>
      <c r="H116" s="1085">
        <v>1</v>
      </c>
      <c r="I116" s="1477">
        <v>320</v>
      </c>
      <c r="J116" s="1477"/>
      <c r="K116" s="684">
        <v>40</v>
      </c>
      <c r="L116" s="684">
        <v>0</v>
      </c>
      <c r="M116" s="684">
        <v>0</v>
      </c>
      <c r="N116" s="684">
        <v>40</v>
      </c>
      <c r="O116" s="1477" t="s">
        <v>38</v>
      </c>
      <c r="P116" s="1477"/>
      <c r="Q116" s="1467">
        <v>67.95</v>
      </c>
      <c r="R116" s="1468"/>
      <c r="S116" s="707">
        <v>0</v>
      </c>
      <c r="T116" s="132"/>
      <c r="U116" s="196" t="s">
        <v>803</v>
      </c>
      <c r="V116" s="196">
        <v>82</v>
      </c>
      <c r="W116" s="348"/>
      <c r="X116" s="1531"/>
      <c r="Y116" s="431" t="s">
        <v>44</v>
      </c>
      <c r="Z116" s="687"/>
      <c r="AA116" s="687"/>
      <c r="AB116" s="687"/>
      <c r="AC116" s="686">
        <v>3</v>
      </c>
      <c r="AD116" s="1085">
        <v>1</v>
      </c>
      <c r="AE116" s="1477">
        <v>320</v>
      </c>
      <c r="AF116" s="1477"/>
      <c r="AG116" s="684">
        <v>40</v>
      </c>
      <c r="AH116" s="684">
        <v>0</v>
      </c>
      <c r="AI116" s="684">
        <v>0</v>
      </c>
      <c r="AJ116" s="684">
        <v>40</v>
      </c>
      <c r="AK116" s="1477" t="s">
        <v>38</v>
      </c>
      <c r="AL116" s="1477"/>
      <c r="AM116" s="1467">
        <v>62.15</v>
      </c>
      <c r="AN116" s="1468"/>
      <c r="AO116" s="707">
        <v>0</v>
      </c>
      <c r="AP116" s="132"/>
      <c r="AQ116" s="196" t="s">
        <v>803</v>
      </c>
      <c r="AR116" s="196">
        <v>117</v>
      </c>
      <c r="AS116" s="348"/>
      <c r="AT116" s="1146"/>
      <c r="AU116" s="1097"/>
    </row>
    <row r="117" spans="1:47" ht="15.6" customHeight="1" x14ac:dyDescent="0.25">
      <c r="A117" s="1146"/>
      <c r="B117" s="1531"/>
      <c r="C117" s="431" t="s">
        <v>51</v>
      </c>
      <c r="D117" s="687"/>
      <c r="E117" s="687"/>
      <c r="F117" s="687"/>
      <c r="G117" s="686">
        <v>4</v>
      </c>
      <c r="H117" s="1085">
        <v>1</v>
      </c>
      <c r="I117" s="1477">
        <v>300</v>
      </c>
      <c r="J117" s="1477"/>
      <c r="K117" s="684">
        <v>60</v>
      </c>
      <c r="L117" s="684">
        <v>0</v>
      </c>
      <c r="M117" s="684">
        <v>0</v>
      </c>
      <c r="N117" s="684">
        <v>60</v>
      </c>
      <c r="O117" s="1485" t="s">
        <v>54</v>
      </c>
      <c r="P117" s="1485"/>
      <c r="Q117" s="1467">
        <v>67.28</v>
      </c>
      <c r="R117" s="1468"/>
      <c r="S117" s="707">
        <v>0</v>
      </c>
      <c r="T117" s="132"/>
      <c r="U117" s="196" t="s">
        <v>802</v>
      </c>
      <c r="V117" s="196">
        <v>0</v>
      </c>
      <c r="W117" s="348"/>
      <c r="X117" s="1531"/>
      <c r="Y117" s="431" t="s">
        <v>51</v>
      </c>
      <c r="Z117" s="687"/>
      <c r="AA117" s="687"/>
      <c r="AB117" s="687"/>
      <c r="AC117" s="686">
        <v>4</v>
      </c>
      <c r="AD117" s="1085">
        <v>1</v>
      </c>
      <c r="AE117" s="1477">
        <v>300</v>
      </c>
      <c r="AF117" s="1477"/>
      <c r="AG117" s="684">
        <v>60</v>
      </c>
      <c r="AH117" s="684">
        <v>0</v>
      </c>
      <c r="AI117" s="684">
        <v>0</v>
      </c>
      <c r="AJ117" s="684">
        <v>60</v>
      </c>
      <c r="AK117" s="1485" t="s">
        <v>54</v>
      </c>
      <c r="AL117" s="1485"/>
      <c r="AM117" s="1467">
        <v>55.54</v>
      </c>
      <c r="AN117" s="1468"/>
      <c r="AO117" s="707">
        <v>0</v>
      </c>
      <c r="AP117" s="132"/>
      <c r="AQ117" s="196" t="s">
        <v>802</v>
      </c>
      <c r="AR117" s="196">
        <v>1</v>
      </c>
      <c r="AS117" s="348"/>
      <c r="AT117" s="1146"/>
      <c r="AU117" s="1097"/>
    </row>
    <row r="118" spans="1:47" ht="15.6" customHeight="1" x14ac:dyDescent="0.25">
      <c r="A118" s="1146"/>
      <c r="B118" s="1531"/>
      <c r="C118" s="431" t="s">
        <v>55</v>
      </c>
      <c r="D118" s="687"/>
      <c r="E118" s="687"/>
      <c r="F118" s="687"/>
      <c r="G118" s="453">
        <v>5</v>
      </c>
      <c r="H118" s="1086">
        <v>1</v>
      </c>
      <c r="I118" s="1469">
        <v>300</v>
      </c>
      <c r="J118" s="1469"/>
      <c r="K118" s="617">
        <v>30</v>
      </c>
      <c r="L118" s="617">
        <v>15</v>
      </c>
      <c r="M118" s="617">
        <v>15</v>
      </c>
      <c r="N118" s="617">
        <v>60</v>
      </c>
      <c r="O118" s="1486" t="s">
        <v>33</v>
      </c>
      <c r="P118" s="1486"/>
      <c r="Q118" s="1470">
        <v>67.569999999999993</v>
      </c>
      <c r="R118" s="1471"/>
      <c r="S118" s="707">
        <v>0</v>
      </c>
      <c r="T118" s="132"/>
      <c r="U118" s="196" t="s">
        <v>801</v>
      </c>
      <c r="V118" s="196">
        <v>0</v>
      </c>
      <c r="W118" s="348"/>
      <c r="X118" s="1531"/>
      <c r="Y118" s="431" t="s">
        <v>55</v>
      </c>
      <c r="Z118" s="687"/>
      <c r="AA118" s="687"/>
      <c r="AB118" s="687"/>
      <c r="AC118" s="453">
        <v>5</v>
      </c>
      <c r="AD118" s="1086">
        <v>1</v>
      </c>
      <c r="AE118" s="1469">
        <v>300</v>
      </c>
      <c r="AF118" s="1469"/>
      <c r="AG118" s="617">
        <v>30</v>
      </c>
      <c r="AH118" s="617">
        <v>15</v>
      </c>
      <c r="AI118" s="617">
        <v>15</v>
      </c>
      <c r="AJ118" s="617">
        <v>60</v>
      </c>
      <c r="AK118" s="1486" t="s">
        <v>33</v>
      </c>
      <c r="AL118" s="1486"/>
      <c r="AM118" s="1470">
        <v>61.36</v>
      </c>
      <c r="AN118" s="1471"/>
      <c r="AO118" s="707">
        <v>0</v>
      </c>
      <c r="AP118" s="132"/>
      <c r="AQ118" s="196" t="s">
        <v>801</v>
      </c>
      <c r="AR118" s="196">
        <v>0</v>
      </c>
      <c r="AS118" s="348"/>
      <c r="AT118" s="1146"/>
      <c r="AU118" s="1097"/>
    </row>
    <row r="119" spans="1:47" ht="15.6" customHeight="1" x14ac:dyDescent="0.25">
      <c r="A119" s="1146"/>
      <c r="B119" s="1531"/>
      <c r="C119" s="690" t="s">
        <v>946</v>
      </c>
      <c r="D119" s="442"/>
      <c r="E119" s="442"/>
      <c r="F119" s="442"/>
      <c r="G119" s="313"/>
      <c r="H119" s="1087" t="s">
        <v>29</v>
      </c>
      <c r="I119" s="691"/>
      <c r="J119" s="312"/>
      <c r="K119" s="1187"/>
      <c r="L119" s="1187"/>
      <c r="M119" s="1187"/>
      <c r="N119" s="1187"/>
      <c r="O119" s="697"/>
      <c r="P119" s="313"/>
      <c r="Q119" s="708"/>
      <c r="R119" s="795"/>
      <c r="S119" s="1075"/>
      <c r="T119" s="132"/>
      <c r="U119" s="196" t="s">
        <v>515</v>
      </c>
      <c r="V119" s="196">
        <v>122</v>
      </c>
      <c r="W119" s="348"/>
      <c r="X119" s="1531"/>
      <c r="Y119" s="690" t="s">
        <v>946</v>
      </c>
      <c r="Z119" s="442"/>
      <c r="AA119" s="442"/>
      <c r="AB119" s="442"/>
      <c r="AC119" s="313"/>
      <c r="AD119" s="1087" t="s">
        <v>29</v>
      </c>
      <c r="AE119" s="691"/>
      <c r="AF119" s="312"/>
      <c r="AG119" s="1187"/>
      <c r="AH119" s="1187"/>
      <c r="AI119" s="1187"/>
      <c r="AJ119" s="1187"/>
      <c r="AK119" s="697"/>
      <c r="AL119" s="313"/>
      <c r="AM119" s="708"/>
      <c r="AN119" s="795"/>
      <c r="AO119" s="1075"/>
      <c r="AP119" s="132"/>
      <c r="AQ119" s="196" t="s">
        <v>515</v>
      </c>
      <c r="AR119" s="196">
        <v>122</v>
      </c>
      <c r="AS119" s="348"/>
      <c r="AT119" s="1146"/>
      <c r="AU119" s="1097"/>
    </row>
    <row r="120" spans="1:47" ht="15.6" customHeight="1" x14ac:dyDescent="0.25">
      <c r="A120" s="1147"/>
      <c r="B120" s="1531"/>
      <c r="C120" s="431" t="s">
        <v>402</v>
      </c>
      <c r="D120" s="687"/>
      <c r="E120" s="687"/>
      <c r="F120" s="687"/>
      <c r="G120" s="689">
        <v>7</v>
      </c>
      <c r="H120" s="1083">
        <v>1</v>
      </c>
      <c r="I120" s="1472">
        <v>240</v>
      </c>
      <c r="J120" s="1472"/>
      <c r="K120" s="618">
        <v>0</v>
      </c>
      <c r="L120" s="618">
        <v>0</v>
      </c>
      <c r="M120" s="618">
        <v>0</v>
      </c>
      <c r="N120" s="618">
        <v>0</v>
      </c>
      <c r="O120" s="1466" t="s">
        <v>1128</v>
      </c>
      <c r="P120" s="1466"/>
      <c r="Q120" s="1473">
        <v>68.75</v>
      </c>
      <c r="R120" s="1474"/>
      <c r="S120" s="707" t="s">
        <v>32</v>
      </c>
      <c r="T120" s="801"/>
      <c r="U120" s="801"/>
      <c r="V120" s="951"/>
      <c r="W120" s="348"/>
      <c r="X120" s="1531"/>
      <c r="Y120" s="431" t="s">
        <v>402</v>
      </c>
      <c r="Z120" s="687"/>
      <c r="AA120" s="687"/>
      <c r="AB120" s="687"/>
      <c r="AC120" s="689">
        <v>7</v>
      </c>
      <c r="AD120" s="1083">
        <v>1</v>
      </c>
      <c r="AE120" s="1472">
        <v>240</v>
      </c>
      <c r="AF120" s="1472"/>
      <c r="AG120" s="618">
        <v>0</v>
      </c>
      <c r="AH120" s="618">
        <v>0</v>
      </c>
      <c r="AI120" s="618">
        <v>0</v>
      </c>
      <c r="AJ120" s="618">
        <v>0</v>
      </c>
      <c r="AK120" s="1466" t="s">
        <v>1128</v>
      </c>
      <c r="AL120" s="1466"/>
      <c r="AM120" s="1473">
        <v>64.5</v>
      </c>
      <c r="AN120" s="1474"/>
      <c r="AO120" s="707">
        <v>0</v>
      </c>
      <c r="AP120" s="801"/>
      <c r="AQ120" s="801"/>
      <c r="AR120" s="951"/>
      <c r="AS120" s="348"/>
      <c r="AT120" s="1147"/>
      <c r="AU120" s="1097"/>
    </row>
    <row r="121" spans="1:47" ht="15.6" customHeight="1" x14ac:dyDescent="0.25">
      <c r="A121" s="1146"/>
      <c r="B121" s="1531"/>
      <c r="C121" s="431" t="s">
        <v>273</v>
      </c>
      <c r="D121" s="687"/>
      <c r="E121" s="687"/>
      <c r="F121" s="687"/>
      <c r="G121" s="685">
        <v>7</v>
      </c>
      <c r="H121" s="1084">
        <v>1</v>
      </c>
      <c r="I121" s="1477">
        <v>240</v>
      </c>
      <c r="J121" s="1477"/>
      <c r="K121" s="684">
        <v>0</v>
      </c>
      <c r="L121" s="684">
        <v>0</v>
      </c>
      <c r="M121" s="684">
        <v>0</v>
      </c>
      <c r="N121" s="684">
        <v>0</v>
      </c>
      <c r="O121" s="1466" t="s">
        <v>1128</v>
      </c>
      <c r="P121" s="1466"/>
      <c r="Q121" s="1467">
        <v>72.8</v>
      </c>
      <c r="R121" s="1468"/>
      <c r="S121" s="707">
        <v>0</v>
      </c>
      <c r="T121" s="801"/>
      <c r="U121" s="40"/>
      <c r="V121" s="951"/>
      <c r="W121" s="348"/>
      <c r="X121" s="1531"/>
      <c r="Y121" s="431" t="s">
        <v>273</v>
      </c>
      <c r="Z121" s="687"/>
      <c r="AA121" s="687"/>
      <c r="AB121" s="687"/>
      <c r="AC121" s="685">
        <v>7</v>
      </c>
      <c r="AD121" s="1084">
        <v>1</v>
      </c>
      <c r="AE121" s="1477">
        <v>240</v>
      </c>
      <c r="AF121" s="1477"/>
      <c r="AG121" s="684">
        <v>0</v>
      </c>
      <c r="AH121" s="684">
        <v>0</v>
      </c>
      <c r="AI121" s="684">
        <v>0</v>
      </c>
      <c r="AJ121" s="684">
        <v>0</v>
      </c>
      <c r="AK121" s="1466" t="s">
        <v>1128</v>
      </c>
      <c r="AL121" s="1466"/>
      <c r="AM121" s="1467">
        <v>67.78</v>
      </c>
      <c r="AN121" s="1468"/>
      <c r="AO121" s="707">
        <v>0</v>
      </c>
      <c r="AP121" s="801"/>
      <c r="AQ121" s="40"/>
      <c r="AR121" s="951"/>
      <c r="AS121" s="348"/>
      <c r="AT121" s="1146"/>
      <c r="AU121" s="1097"/>
    </row>
    <row r="122" spans="1:47" ht="15.6" customHeight="1" x14ac:dyDescent="0.25">
      <c r="A122" s="1146"/>
      <c r="B122" s="1531"/>
      <c r="C122" s="431" t="s">
        <v>73</v>
      </c>
      <c r="D122" s="687"/>
      <c r="E122" s="687"/>
      <c r="F122" s="687"/>
      <c r="G122" s="686">
        <v>8</v>
      </c>
      <c r="H122" s="1085">
        <v>8</v>
      </c>
      <c r="I122" s="1477">
        <v>240</v>
      </c>
      <c r="J122" s="1477"/>
      <c r="K122" s="684">
        <v>0</v>
      </c>
      <c r="L122" s="684">
        <v>0</v>
      </c>
      <c r="M122" s="684">
        <v>0</v>
      </c>
      <c r="N122" s="684">
        <v>0</v>
      </c>
      <c r="O122" s="1477" t="s">
        <v>16</v>
      </c>
      <c r="P122" s="1477"/>
      <c r="Q122" s="1467">
        <v>64.75</v>
      </c>
      <c r="R122" s="1468"/>
      <c r="S122" s="707">
        <v>0</v>
      </c>
      <c r="T122" s="801"/>
      <c r="U122" s="801"/>
      <c r="V122" s="801"/>
      <c r="W122" s="348"/>
      <c r="X122" s="1531"/>
      <c r="Y122" s="431" t="s">
        <v>73</v>
      </c>
      <c r="Z122" s="687"/>
      <c r="AA122" s="687"/>
      <c r="AB122" s="687"/>
      <c r="AC122" s="686">
        <v>8</v>
      </c>
      <c r="AD122" s="1085">
        <v>8</v>
      </c>
      <c r="AE122" s="1477">
        <v>240</v>
      </c>
      <c r="AF122" s="1477"/>
      <c r="AG122" s="684">
        <v>0</v>
      </c>
      <c r="AH122" s="684">
        <v>0</v>
      </c>
      <c r="AI122" s="684">
        <v>0</v>
      </c>
      <c r="AJ122" s="684">
        <v>0</v>
      </c>
      <c r="AK122" s="1477" t="s">
        <v>16</v>
      </c>
      <c r="AL122" s="1477"/>
      <c r="AM122" s="1467">
        <v>61.44</v>
      </c>
      <c r="AN122" s="1468"/>
      <c r="AO122" s="707">
        <v>0</v>
      </c>
      <c r="AP122" s="801"/>
      <c r="AQ122" s="801"/>
      <c r="AR122" s="801"/>
      <c r="AS122" s="348"/>
      <c r="AT122" s="1146"/>
      <c r="AU122" s="1097"/>
    </row>
    <row r="123" spans="1:47" ht="15.6" customHeight="1" x14ac:dyDescent="0.25">
      <c r="A123" s="1146"/>
      <c r="B123" s="1531"/>
      <c r="C123" s="431" t="s">
        <v>101</v>
      </c>
      <c r="D123" s="687"/>
      <c r="E123" s="687"/>
      <c r="F123" s="687"/>
      <c r="G123" s="686">
        <v>9</v>
      </c>
      <c r="H123" s="1085">
        <v>14</v>
      </c>
      <c r="I123" s="1477">
        <v>240</v>
      </c>
      <c r="J123" s="1477"/>
      <c r="K123" s="684">
        <v>0</v>
      </c>
      <c r="L123" s="684">
        <v>0</v>
      </c>
      <c r="M123" s="684">
        <v>0</v>
      </c>
      <c r="N123" s="684">
        <v>0</v>
      </c>
      <c r="O123" s="1477" t="s">
        <v>18</v>
      </c>
      <c r="P123" s="1477"/>
      <c r="Q123" s="1467">
        <v>66.53</v>
      </c>
      <c r="R123" s="1468"/>
      <c r="S123" s="707">
        <v>0</v>
      </c>
      <c r="T123" s="801"/>
      <c r="U123" s="801"/>
      <c r="V123" s="801"/>
      <c r="W123" s="1096"/>
      <c r="X123" s="1531"/>
      <c r="Y123" s="431" t="s">
        <v>101</v>
      </c>
      <c r="Z123" s="687"/>
      <c r="AA123" s="687"/>
      <c r="AB123" s="687"/>
      <c r="AC123" s="686">
        <v>9</v>
      </c>
      <c r="AD123" s="1085">
        <v>14</v>
      </c>
      <c r="AE123" s="1477">
        <v>240</v>
      </c>
      <c r="AF123" s="1477"/>
      <c r="AG123" s="684">
        <v>0</v>
      </c>
      <c r="AH123" s="684">
        <v>0</v>
      </c>
      <c r="AI123" s="684">
        <v>0</v>
      </c>
      <c r="AJ123" s="684">
        <v>0</v>
      </c>
      <c r="AK123" s="1477" t="s">
        <v>18</v>
      </c>
      <c r="AL123" s="1477"/>
      <c r="AM123" s="1467">
        <v>63.13</v>
      </c>
      <c r="AN123" s="1468"/>
      <c r="AO123" s="707">
        <v>0</v>
      </c>
      <c r="AP123" s="801"/>
      <c r="AQ123" s="801"/>
      <c r="AR123" s="801"/>
      <c r="AS123" s="1096"/>
      <c r="AT123" s="1146"/>
      <c r="AU123" s="1097"/>
    </row>
    <row r="124" spans="1:47" ht="15.6" customHeight="1" x14ac:dyDescent="0.25">
      <c r="A124" s="1146"/>
      <c r="B124" s="1531"/>
      <c r="C124" s="431" t="s">
        <v>150</v>
      </c>
      <c r="D124" s="687"/>
      <c r="E124" s="687"/>
      <c r="F124" s="687"/>
      <c r="G124" s="686">
        <v>10</v>
      </c>
      <c r="H124" s="1085">
        <v>1</v>
      </c>
      <c r="I124" s="1477">
        <v>240</v>
      </c>
      <c r="J124" s="1477"/>
      <c r="K124" s="684">
        <v>0</v>
      </c>
      <c r="L124" s="684">
        <v>0</v>
      </c>
      <c r="M124" s="684">
        <v>0</v>
      </c>
      <c r="N124" s="684">
        <v>0</v>
      </c>
      <c r="O124" s="1477" t="s">
        <v>19</v>
      </c>
      <c r="P124" s="1477"/>
      <c r="Q124" s="1467">
        <v>67.430000000000007</v>
      </c>
      <c r="R124" s="1468"/>
      <c r="S124" s="707">
        <v>0</v>
      </c>
      <c r="T124" s="1483" t="s">
        <v>998</v>
      </c>
      <c r="U124" s="1537"/>
      <c r="V124" s="1537"/>
      <c r="W124" s="1096"/>
      <c r="X124" s="1531"/>
      <c r="Y124" s="431" t="s">
        <v>150</v>
      </c>
      <c r="Z124" s="687"/>
      <c r="AA124" s="687"/>
      <c r="AB124" s="687"/>
      <c r="AC124" s="686">
        <v>10</v>
      </c>
      <c r="AD124" s="1085">
        <v>1</v>
      </c>
      <c r="AE124" s="1477">
        <v>240</v>
      </c>
      <c r="AF124" s="1477"/>
      <c r="AG124" s="684">
        <v>0</v>
      </c>
      <c r="AH124" s="684">
        <v>0</v>
      </c>
      <c r="AI124" s="684">
        <v>0</v>
      </c>
      <c r="AJ124" s="684">
        <v>0</v>
      </c>
      <c r="AK124" s="1477" t="s">
        <v>19</v>
      </c>
      <c r="AL124" s="1477"/>
      <c r="AM124" s="1467">
        <v>63.97</v>
      </c>
      <c r="AN124" s="1468"/>
      <c r="AO124" s="707">
        <v>0</v>
      </c>
      <c r="AP124" s="1483" t="s">
        <v>998</v>
      </c>
      <c r="AQ124" s="1537"/>
      <c r="AR124" s="1537"/>
      <c r="AS124" s="1096"/>
      <c r="AT124" s="1146"/>
      <c r="AU124" s="1097"/>
    </row>
    <row r="125" spans="1:47" ht="15.6" customHeight="1" x14ac:dyDescent="0.25">
      <c r="A125" s="1146"/>
      <c r="B125" s="1531"/>
      <c r="C125" s="431" t="s">
        <v>153</v>
      </c>
      <c r="D125" s="687"/>
      <c r="E125" s="687"/>
      <c r="F125" s="687"/>
      <c r="G125" s="686">
        <v>11</v>
      </c>
      <c r="H125" s="1085">
        <v>14</v>
      </c>
      <c r="I125" s="1477">
        <v>240</v>
      </c>
      <c r="J125" s="1477"/>
      <c r="K125" s="684">
        <v>0</v>
      </c>
      <c r="L125" s="684">
        <v>0</v>
      </c>
      <c r="M125" s="684">
        <v>0</v>
      </c>
      <c r="N125" s="684">
        <v>0</v>
      </c>
      <c r="O125" s="1477" t="s">
        <v>20</v>
      </c>
      <c r="P125" s="1477"/>
      <c r="Q125" s="1467">
        <v>67.78</v>
      </c>
      <c r="R125" s="1468"/>
      <c r="S125" s="707">
        <v>0</v>
      </c>
      <c r="T125" s="1483" t="s">
        <v>1295</v>
      </c>
      <c r="U125" s="1537"/>
      <c r="V125" s="1537"/>
      <c r="W125" s="1096"/>
      <c r="X125" s="1531"/>
      <c r="Y125" s="431" t="s">
        <v>153</v>
      </c>
      <c r="Z125" s="687"/>
      <c r="AA125" s="687"/>
      <c r="AB125" s="687"/>
      <c r="AC125" s="686">
        <v>11</v>
      </c>
      <c r="AD125" s="1085">
        <v>14</v>
      </c>
      <c r="AE125" s="1477">
        <v>240</v>
      </c>
      <c r="AF125" s="1477"/>
      <c r="AG125" s="684">
        <v>0</v>
      </c>
      <c r="AH125" s="684">
        <v>0</v>
      </c>
      <c r="AI125" s="684">
        <v>0</v>
      </c>
      <c r="AJ125" s="684">
        <v>0</v>
      </c>
      <c r="AK125" s="1477" t="s">
        <v>20</v>
      </c>
      <c r="AL125" s="1477"/>
      <c r="AM125" s="1467">
        <v>64.31</v>
      </c>
      <c r="AN125" s="1468"/>
      <c r="AO125" s="707">
        <v>0</v>
      </c>
      <c r="AP125" s="1483" t="s">
        <v>1295</v>
      </c>
      <c r="AQ125" s="1537"/>
      <c r="AR125" s="1537"/>
      <c r="AS125" s="1096"/>
      <c r="AT125" s="1146"/>
      <c r="AU125" s="1097"/>
    </row>
    <row r="126" spans="1:47" ht="15.6" customHeight="1" x14ac:dyDescent="0.25">
      <c r="A126" s="1146"/>
      <c r="B126" s="1531"/>
      <c r="C126" s="431" t="s">
        <v>197</v>
      </c>
      <c r="D126" s="687"/>
      <c r="E126" s="687"/>
      <c r="F126" s="687"/>
      <c r="G126" s="686">
        <v>12</v>
      </c>
      <c r="H126" s="1085">
        <v>1</v>
      </c>
      <c r="I126" s="1477">
        <v>240</v>
      </c>
      <c r="J126" s="1477"/>
      <c r="K126" s="684">
        <v>0</v>
      </c>
      <c r="L126" s="684">
        <v>0</v>
      </c>
      <c r="M126" s="684">
        <v>0</v>
      </c>
      <c r="N126" s="684">
        <v>0</v>
      </c>
      <c r="O126" s="1477" t="s">
        <v>21</v>
      </c>
      <c r="P126" s="1477"/>
      <c r="Q126" s="1467">
        <v>67.959999999999994</v>
      </c>
      <c r="R126" s="1468"/>
      <c r="S126" s="707">
        <v>0</v>
      </c>
      <c r="T126" s="706"/>
      <c r="U126" s="786" t="s">
        <v>999</v>
      </c>
      <c r="V126" s="785">
        <v>75.2</v>
      </c>
      <c r="W126" s="1096"/>
      <c r="X126" s="1531"/>
      <c r="Y126" s="431" t="s">
        <v>197</v>
      </c>
      <c r="Z126" s="687"/>
      <c r="AA126" s="687"/>
      <c r="AB126" s="687"/>
      <c r="AC126" s="686">
        <v>12</v>
      </c>
      <c r="AD126" s="1085">
        <v>1</v>
      </c>
      <c r="AE126" s="1477">
        <v>240</v>
      </c>
      <c r="AF126" s="1477"/>
      <c r="AG126" s="684">
        <v>0</v>
      </c>
      <c r="AH126" s="684">
        <v>0</v>
      </c>
      <c r="AI126" s="684">
        <v>0</v>
      </c>
      <c r="AJ126" s="684">
        <v>0</v>
      </c>
      <c r="AK126" s="1477" t="s">
        <v>21</v>
      </c>
      <c r="AL126" s="1477"/>
      <c r="AM126" s="1467">
        <v>64.48</v>
      </c>
      <c r="AN126" s="1468"/>
      <c r="AO126" s="707">
        <v>0</v>
      </c>
      <c r="AP126" s="706"/>
      <c r="AQ126" s="786" t="s">
        <v>999</v>
      </c>
      <c r="AR126" s="785">
        <v>72.84</v>
      </c>
      <c r="AS126" s="1096"/>
      <c r="AT126" s="1146"/>
      <c r="AU126" s="1097"/>
    </row>
    <row r="127" spans="1:47" ht="15.6" customHeight="1" x14ac:dyDescent="0.25">
      <c r="A127" s="1146"/>
      <c r="B127" s="1531"/>
      <c r="C127" s="431" t="s">
        <v>219</v>
      </c>
      <c r="D127" s="687"/>
      <c r="E127" s="687"/>
      <c r="F127" s="687"/>
      <c r="G127" s="686">
        <v>13</v>
      </c>
      <c r="H127" s="1085">
        <v>11</v>
      </c>
      <c r="I127" s="1477">
        <v>240</v>
      </c>
      <c r="J127" s="1477"/>
      <c r="K127" s="684">
        <v>0</v>
      </c>
      <c r="L127" s="684">
        <v>0</v>
      </c>
      <c r="M127" s="684">
        <v>0</v>
      </c>
      <c r="N127" s="684">
        <v>0</v>
      </c>
      <c r="O127" s="1477" t="s">
        <v>22</v>
      </c>
      <c r="P127" s="1477"/>
      <c r="Q127" s="1467">
        <v>68.319999999999993</v>
      </c>
      <c r="R127" s="1468"/>
      <c r="S127" s="707" t="s">
        <v>32</v>
      </c>
      <c r="T127" s="706"/>
      <c r="U127" s="786" t="s">
        <v>1000</v>
      </c>
      <c r="V127" s="785">
        <v>64.75</v>
      </c>
      <c r="W127" s="1096"/>
      <c r="X127" s="1531"/>
      <c r="Y127" s="431" t="s">
        <v>219</v>
      </c>
      <c r="Z127" s="687"/>
      <c r="AA127" s="687"/>
      <c r="AB127" s="687"/>
      <c r="AC127" s="686">
        <v>13</v>
      </c>
      <c r="AD127" s="1085">
        <v>11</v>
      </c>
      <c r="AE127" s="1477">
        <v>240</v>
      </c>
      <c r="AF127" s="1477"/>
      <c r="AG127" s="684">
        <v>0</v>
      </c>
      <c r="AH127" s="684">
        <v>0</v>
      </c>
      <c r="AI127" s="684">
        <v>0</v>
      </c>
      <c r="AJ127" s="684">
        <v>0</v>
      </c>
      <c r="AK127" s="1477" t="s">
        <v>22</v>
      </c>
      <c r="AL127" s="1477"/>
      <c r="AM127" s="1467">
        <v>64.819999999999993</v>
      </c>
      <c r="AN127" s="1468"/>
      <c r="AO127" s="707">
        <v>0</v>
      </c>
      <c r="AP127" s="706"/>
      <c r="AQ127" s="786" t="s">
        <v>1000</v>
      </c>
      <c r="AR127" s="785">
        <v>55.54</v>
      </c>
      <c r="AS127" s="1096"/>
      <c r="AT127" s="1146"/>
      <c r="AU127" s="1097"/>
    </row>
    <row r="128" spans="1:47" ht="15.6" customHeight="1" x14ac:dyDescent="0.25">
      <c r="A128" s="1146"/>
      <c r="B128" s="1531"/>
      <c r="C128" s="431" t="s">
        <v>257</v>
      </c>
      <c r="D128" s="687"/>
      <c r="E128" s="687"/>
      <c r="F128" s="687"/>
      <c r="G128" s="686">
        <v>14</v>
      </c>
      <c r="H128" s="1085">
        <v>12</v>
      </c>
      <c r="I128" s="1477">
        <v>240</v>
      </c>
      <c r="J128" s="1477"/>
      <c r="K128" s="684">
        <v>0</v>
      </c>
      <c r="L128" s="684">
        <v>0</v>
      </c>
      <c r="M128" s="684">
        <v>0</v>
      </c>
      <c r="N128" s="684">
        <v>0</v>
      </c>
      <c r="O128" s="1477" t="s">
        <v>23</v>
      </c>
      <c r="P128" s="1477"/>
      <c r="Q128" s="1467">
        <v>69.209999999999994</v>
      </c>
      <c r="R128" s="1468"/>
      <c r="S128" s="707" t="s">
        <v>32</v>
      </c>
      <c r="T128" s="706"/>
      <c r="U128" s="786" t="s">
        <v>1001</v>
      </c>
      <c r="V128" s="787">
        <v>10.450000000000003</v>
      </c>
      <c r="W128" s="1096"/>
      <c r="X128" s="1531"/>
      <c r="Y128" s="431" t="s">
        <v>257</v>
      </c>
      <c r="Z128" s="687"/>
      <c r="AA128" s="687"/>
      <c r="AB128" s="687"/>
      <c r="AC128" s="686">
        <v>14</v>
      </c>
      <c r="AD128" s="1085">
        <v>12</v>
      </c>
      <c r="AE128" s="1477">
        <v>240</v>
      </c>
      <c r="AF128" s="1477"/>
      <c r="AG128" s="684">
        <v>0</v>
      </c>
      <c r="AH128" s="684">
        <v>0</v>
      </c>
      <c r="AI128" s="684">
        <v>0</v>
      </c>
      <c r="AJ128" s="684">
        <v>0</v>
      </c>
      <c r="AK128" s="1477" t="s">
        <v>23</v>
      </c>
      <c r="AL128" s="1477"/>
      <c r="AM128" s="1467">
        <v>65.66</v>
      </c>
      <c r="AN128" s="1468"/>
      <c r="AO128" s="707">
        <v>0</v>
      </c>
      <c r="AP128" s="706"/>
      <c r="AQ128" s="786" t="s">
        <v>1001</v>
      </c>
      <c r="AR128" s="787">
        <v>17.300000000000004</v>
      </c>
      <c r="AS128" s="1096"/>
      <c r="AT128" s="1146"/>
      <c r="AU128" s="1097"/>
    </row>
    <row r="129" spans="1:47" ht="15.6" customHeight="1" x14ac:dyDescent="0.25">
      <c r="A129" s="1146"/>
      <c r="B129" s="1531"/>
      <c r="C129" s="431" t="s">
        <v>270</v>
      </c>
      <c r="D129" s="687"/>
      <c r="E129" s="687"/>
      <c r="F129" s="687"/>
      <c r="G129" s="686">
        <v>15</v>
      </c>
      <c r="H129" s="1085">
        <v>3</v>
      </c>
      <c r="I129" s="1477">
        <v>240</v>
      </c>
      <c r="J129" s="1477"/>
      <c r="K129" s="684">
        <v>0</v>
      </c>
      <c r="L129" s="684">
        <v>0</v>
      </c>
      <c r="M129" s="684">
        <v>0</v>
      </c>
      <c r="N129" s="684">
        <v>0</v>
      </c>
      <c r="O129" s="1477" t="s">
        <v>24</v>
      </c>
      <c r="P129" s="1477"/>
      <c r="Q129" s="1467">
        <v>70.099999999999994</v>
      </c>
      <c r="R129" s="1468"/>
      <c r="S129" s="707">
        <v>0</v>
      </c>
      <c r="T129" s="706"/>
      <c r="U129" s="786" t="s">
        <v>1002</v>
      </c>
      <c r="V129" s="785">
        <v>69.19</v>
      </c>
      <c r="W129" s="1096"/>
      <c r="X129" s="1531"/>
      <c r="Y129" s="431" t="s">
        <v>270</v>
      </c>
      <c r="Z129" s="687"/>
      <c r="AA129" s="687"/>
      <c r="AB129" s="687"/>
      <c r="AC129" s="686">
        <v>15</v>
      </c>
      <c r="AD129" s="1085">
        <v>3</v>
      </c>
      <c r="AE129" s="1477">
        <v>240</v>
      </c>
      <c r="AF129" s="1477"/>
      <c r="AG129" s="684">
        <v>0</v>
      </c>
      <c r="AH129" s="684">
        <v>0</v>
      </c>
      <c r="AI129" s="684">
        <v>0</v>
      </c>
      <c r="AJ129" s="684">
        <v>0</v>
      </c>
      <c r="AK129" s="1477" t="s">
        <v>24</v>
      </c>
      <c r="AL129" s="1477"/>
      <c r="AM129" s="1467">
        <v>66.5</v>
      </c>
      <c r="AN129" s="1468"/>
      <c r="AO129" s="707">
        <v>0</v>
      </c>
      <c r="AP129" s="706"/>
      <c r="AQ129" s="786" t="s">
        <v>1002</v>
      </c>
      <c r="AR129" s="785">
        <v>65.03</v>
      </c>
      <c r="AS129" s="1096"/>
      <c r="AT129" s="1146"/>
      <c r="AU129" s="1097"/>
    </row>
    <row r="130" spans="1:47" ht="15.6" customHeight="1" x14ac:dyDescent="0.25">
      <c r="A130" s="1146"/>
      <c r="B130" s="1531"/>
      <c r="C130" s="431" t="s">
        <v>1052</v>
      </c>
      <c r="D130" s="687"/>
      <c r="E130" s="687"/>
      <c r="F130" s="687"/>
      <c r="G130" s="686">
        <v>17</v>
      </c>
      <c r="H130" s="1085">
        <v>1</v>
      </c>
      <c r="I130" s="1477">
        <v>220</v>
      </c>
      <c r="J130" s="1477"/>
      <c r="K130" s="684">
        <v>0</v>
      </c>
      <c r="L130" s="684">
        <v>0</v>
      </c>
      <c r="M130" s="684">
        <v>0</v>
      </c>
      <c r="N130" s="684">
        <v>20</v>
      </c>
      <c r="O130" s="1477" t="s">
        <v>20</v>
      </c>
      <c r="P130" s="1477"/>
      <c r="Q130" s="1467">
        <v>68.81</v>
      </c>
      <c r="R130" s="1468"/>
      <c r="S130" s="707" t="s">
        <v>32</v>
      </c>
      <c r="T130" s="706"/>
      <c r="U130" s="786" t="s">
        <v>1003</v>
      </c>
      <c r="V130" s="785">
        <v>69.209999999999994</v>
      </c>
      <c r="W130" s="1096"/>
      <c r="X130" s="1531"/>
      <c r="Y130" s="431" t="s">
        <v>1052</v>
      </c>
      <c r="Z130" s="687"/>
      <c r="AA130" s="687"/>
      <c r="AB130" s="687"/>
      <c r="AC130" s="686">
        <v>17</v>
      </c>
      <c r="AD130" s="1085">
        <v>1</v>
      </c>
      <c r="AE130" s="1477">
        <v>220</v>
      </c>
      <c r="AF130" s="1477"/>
      <c r="AG130" s="684">
        <v>0</v>
      </c>
      <c r="AH130" s="684">
        <v>0</v>
      </c>
      <c r="AI130" s="684">
        <v>0</v>
      </c>
      <c r="AJ130" s="684">
        <v>20</v>
      </c>
      <c r="AK130" s="1477" t="s">
        <v>20</v>
      </c>
      <c r="AL130" s="1477"/>
      <c r="AM130" s="1467">
        <v>64.52</v>
      </c>
      <c r="AN130" s="1468"/>
      <c r="AO130" s="707">
        <v>0</v>
      </c>
      <c r="AP130" s="706"/>
      <c r="AQ130" s="786" t="s">
        <v>1003</v>
      </c>
      <c r="AR130" s="785">
        <v>64.819999999999993</v>
      </c>
      <c r="AS130" s="1096"/>
      <c r="AT130" s="1146"/>
      <c r="AU130" s="1097"/>
    </row>
    <row r="131" spans="1:47" ht="15.6" customHeight="1" x14ac:dyDescent="0.25">
      <c r="A131" s="1146"/>
      <c r="B131" s="1531"/>
      <c r="C131" s="431" t="s">
        <v>1050</v>
      </c>
      <c r="D131" s="687"/>
      <c r="E131" s="687"/>
      <c r="F131" s="687"/>
      <c r="G131" s="686">
        <v>18</v>
      </c>
      <c r="H131" s="1085">
        <v>1</v>
      </c>
      <c r="I131" s="1477">
        <v>210</v>
      </c>
      <c r="J131" s="1477"/>
      <c r="K131" s="684">
        <v>0</v>
      </c>
      <c r="L131" s="684">
        <v>0</v>
      </c>
      <c r="M131" s="684">
        <v>0</v>
      </c>
      <c r="N131" s="684">
        <v>30</v>
      </c>
      <c r="O131" s="1477" t="s">
        <v>16</v>
      </c>
      <c r="P131" s="1477"/>
      <c r="Q131" s="1467">
        <v>74.67</v>
      </c>
      <c r="R131" s="1468"/>
      <c r="S131" s="707">
        <v>0</v>
      </c>
      <c r="T131" s="1481" t="s">
        <v>1005</v>
      </c>
      <c r="U131" s="1482"/>
      <c r="V131" s="40">
        <v>10</v>
      </c>
      <c r="W131" s="1096"/>
      <c r="X131" s="1531"/>
      <c r="Y131" s="431" t="s">
        <v>1050</v>
      </c>
      <c r="Z131" s="687"/>
      <c r="AA131" s="687"/>
      <c r="AB131" s="687"/>
      <c r="AC131" s="686">
        <v>18</v>
      </c>
      <c r="AD131" s="1085">
        <v>1</v>
      </c>
      <c r="AE131" s="1477">
        <v>210</v>
      </c>
      <c r="AF131" s="1477"/>
      <c r="AG131" s="684">
        <v>0</v>
      </c>
      <c r="AH131" s="684">
        <v>0</v>
      </c>
      <c r="AI131" s="684">
        <v>0</v>
      </c>
      <c r="AJ131" s="684">
        <v>30</v>
      </c>
      <c r="AK131" s="1477" t="s">
        <v>16</v>
      </c>
      <c r="AL131" s="1477"/>
      <c r="AM131" s="1467">
        <v>70.099999999999994</v>
      </c>
      <c r="AN131" s="1468"/>
      <c r="AO131" s="707">
        <v>0</v>
      </c>
      <c r="AP131" s="1481" t="s">
        <v>1005</v>
      </c>
      <c r="AQ131" s="1482"/>
      <c r="AR131" s="40">
        <v>1</v>
      </c>
      <c r="AS131" s="1096"/>
      <c r="AT131" s="1146"/>
      <c r="AU131" s="1097"/>
    </row>
    <row r="132" spans="1:47" ht="15.6" customHeight="1" x14ac:dyDescent="0.25">
      <c r="A132" s="1146"/>
      <c r="B132" s="1531"/>
      <c r="C132" s="431" t="s">
        <v>141</v>
      </c>
      <c r="D132" s="687"/>
      <c r="E132" s="687"/>
      <c r="F132" s="687"/>
      <c r="G132" s="685">
        <v>19</v>
      </c>
      <c r="H132" s="1084">
        <v>1</v>
      </c>
      <c r="I132" s="1477">
        <v>240</v>
      </c>
      <c r="J132" s="1477"/>
      <c r="K132" s="684">
        <v>0</v>
      </c>
      <c r="L132" s="684">
        <v>0</v>
      </c>
      <c r="M132" s="684">
        <v>30</v>
      </c>
      <c r="N132" s="684">
        <v>30</v>
      </c>
      <c r="O132" s="1466" t="s">
        <v>1128</v>
      </c>
      <c r="P132" s="1466"/>
      <c r="Q132" s="1467">
        <v>69.13</v>
      </c>
      <c r="R132" s="1468"/>
      <c r="S132" s="707" t="s">
        <v>32</v>
      </c>
      <c r="T132" s="706"/>
      <c r="U132" s="706"/>
      <c r="V132" s="706"/>
      <c r="W132" s="1096"/>
      <c r="X132" s="1531"/>
      <c r="Y132" s="431" t="s">
        <v>141</v>
      </c>
      <c r="Z132" s="687"/>
      <c r="AA132" s="687"/>
      <c r="AB132" s="687"/>
      <c r="AC132" s="685">
        <v>19</v>
      </c>
      <c r="AD132" s="1084">
        <v>1</v>
      </c>
      <c r="AE132" s="1477">
        <v>240</v>
      </c>
      <c r="AF132" s="1477"/>
      <c r="AG132" s="684">
        <v>0</v>
      </c>
      <c r="AH132" s="684">
        <v>0</v>
      </c>
      <c r="AI132" s="684">
        <v>30</v>
      </c>
      <c r="AJ132" s="684">
        <v>30</v>
      </c>
      <c r="AK132" s="1466" t="s">
        <v>1128</v>
      </c>
      <c r="AL132" s="1466"/>
      <c r="AM132" s="1467">
        <v>63.73</v>
      </c>
      <c r="AN132" s="1468"/>
      <c r="AO132" s="707">
        <v>0</v>
      </c>
      <c r="AP132" s="706"/>
      <c r="AQ132" s="706"/>
      <c r="AR132" s="706"/>
      <c r="AS132" s="1096"/>
      <c r="AT132" s="1146"/>
      <c r="AU132" s="1097"/>
    </row>
    <row r="133" spans="1:47" ht="15.6" customHeight="1" x14ac:dyDescent="0.25">
      <c r="A133" s="1146"/>
      <c r="B133" s="1531"/>
      <c r="C133" s="431" t="s">
        <v>295</v>
      </c>
      <c r="D133" s="687"/>
      <c r="E133" s="687"/>
      <c r="F133" s="687"/>
      <c r="G133" s="686">
        <v>20</v>
      </c>
      <c r="H133" s="1085">
        <v>1</v>
      </c>
      <c r="I133" s="1477">
        <v>210</v>
      </c>
      <c r="J133" s="1477"/>
      <c r="K133" s="684">
        <v>0</v>
      </c>
      <c r="L133" s="684">
        <v>15</v>
      </c>
      <c r="M133" s="684">
        <v>15</v>
      </c>
      <c r="N133" s="684">
        <v>30</v>
      </c>
      <c r="O133" s="1477" t="s">
        <v>23</v>
      </c>
      <c r="P133" s="1477"/>
      <c r="Q133" s="1467">
        <v>70.489999999999995</v>
      </c>
      <c r="R133" s="1468"/>
      <c r="S133" s="707">
        <v>0</v>
      </c>
      <c r="T133" s="706"/>
      <c r="U133" s="706"/>
      <c r="V133" s="706"/>
      <c r="W133" s="1096"/>
      <c r="X133" s="1531"/>
      <c r="Y133" s="431" t="s">
        <v>295</v>
      </c>
      <c r="Z133" s="687"/>
      <c r="AA133" s="687"/>
      <c r="AB133" s="687"/>
      <c r="AC133" s="686">
        <v>20</v>
      </c>
      <c r="AD133" s="1085">
        <v>1</v>
      </c>
      <c r="AE133" s="1477">
        <v>210</v>
      </c>
      <c r="AF133" s="1477"/>
      <c r="AG133" s="684">
        <v>0</v>
      </c>
      <c r="AH133" s="684">
        <v>15</v>
      </c>
      <c r="AI133" s="684">
        <v>15</v>
      </c>
      <c r="AJ133" s="684">
        <v>30</v>
      </c>
      <c r="AK133" s="1477" t="s">
        <v>23</v>
      </c>
      <c r="AL133" s="1477"/>
      <c r="AM133" s="1467">
        <v>65.959999999999994</v>
      </c>
      <c r="AN133" s="1468"/>
      <c r="AO133" s="707">
        <v>0</v>
      </c>
      <c r="AP133" s="706"/>
      <c r="AQ133" s="706"/>
      <c r="AR133" s="706"/>
      <c r="AS133" s="1096"/>
      <c r="AT133" s="1146"/>
      <c r="AU133" s="1097"/>
    </row>
    <row r="134" spans="1:47" ht="15.6" customHeight="1" x14ac:dyDescent="0.25">
      <c r="A134" s="1146"/>
      <c r="B134" s="1531"/>
      <c r="C134" s="431" t="s">
        <v>299</v>
      </c>
      <c r="D134" s="687"/>
      <c r="E134" s="687"/>
      <c r="F134" s="687"/>
      <c r="G134" s="686">
        <v>21</v>
      </c>
      <c r="H134" s="1085">
        <v>1</v>
      </c>
      <c r="I134" s="1477">
        <v>210</v>
      </c>
      <c r="J134" s="1477"/>
      <c r="K134" s="684">
        <v>0</v>
      </c>
      <c r="L134" s="684">
        <v>0</v>
      </c>
      <c r="M134" s="684">
        <v>30</v>
      </c>
      <c r="N134" s="684">
        <v>30</v>
      </c>
      <c r="O134" s="1477" t="s">
        <v>24</v>
      </c>
      <c r="P134" s="1477"/>
      <c r="Q134" s="1467">
        <v>72.069999999999993</v>
      </c>
      <c r="R134" s="1468"/>
      <c r="S134" s="707">
        <v>0</v>
      </c>
      <c r="T134" s="706"/>
      <c r="U134" s="706"/>
      <c r="V134" s="706"/>
      <c r="W134" s="1096"/>
      <c r="X134" s="1531"/>
      <c r="Y134" s="431" t="s">
        <v>299</v>
      </c>
      <c r="Z134" s="687"/>
      <c r="AA134" s="687"/>
      <c r="AB134" s="687"/>
      <c r="AC134" s="686">
        <v>21</v>
      </c>
      <c r="AD134" s="1085">
        <v>1</v>
      </c>
      <c r="AE134" s="1477">
        <v>210</v>
      </c>
      <c r="AF134" s="1477"/>
      <c r="AG134" s="684">
        <v>0</v>
      </c>
      <c r="AH134" s="684">
        <v>0</v>
      </c>
      <c r="AI134" s="684">
        <v>30</v>
      </c>
      <c r="AJ134" s="684">
        <v>30</v>
      </c>
      <c r="AK134" s="1477" t="s">
        <v>24</v>
      </c>
      <c r="AL134" s="1477"/>
      <c r="AM134" s="1467">
        <v>66.95</v>
      </c>
      <c r="AN134" s="1468"/>
      <c r="AO134" s="707">
        <v>0</v>
      </c>
      <c r="AP134" s="706"/>
      <c r="AQ134" s="706"/>
      <c r="AR134" s="706"/>
      <c r="AS134" s="1096"/>
      <c r="AT134" s="1146"/>
      <c r="AU134" s="1097"/>
    </row>
    <row r="135" spans="1:47" ht="15.6" customHeight="1" x14ac:dyDescent="0.25">
      <c r="A135" s="1146"/>
      <c r="B135" s="1531"/>
      <c r="C135" s="431" t="s">
        <v>302</v>
      </c>
      <c r="D135" s="687"/>
      <c r="E135" s="687"/>
      <c r="F135" s="687"/>
      <c r="G135" s="686">
        <v>21</v>
      </c>
      <c r="H135" s="1085">
        <v>1</v>
      </c>
      <c r="I135" s="1477">
        <v>210</v>
      </c>
      <c r="J135" s="1477"/>
      <c r="K135" s="684">
        <v>0</v>
      </c>
      <c r="L135" s="684">
        <v>15</v>
      </c>
      <c r="M135" s="684">
        <v>15</v>
      </c>
      <c r="N135" s="684">
        <v>30</v>
      </c>
      <c r="O135" s="1477" t="s">
        <v>24</v>
      </c>
      <c r="P135" s="1477"/>
      <c r="Q135" s="1467">
        <v>71.34</v>
      </c>
      <c r="R135" s="1468"/>
      <c r="S135" s="707">
        <v>0</v>
      </c>
      <c r="T135" s="706"/>
      <c r="U135" s="706"/>
      <c r="V135" s="706"/>
      <c r="W135" s="1096"/>
      <c r="X135" s="1531"/>
      <c r="Y135" s="431" t="s">
        <v>302</v>
      </c>
      <c r="Z135" s="687"/>
      <c r="AA135" s="687"/>
      <c r="AB135" s="687"/>
      <c r="AC135" s="686">
        <v>21</v>
      </c>
      <c r="AD135" s="1085">
        <v>1</v>
      </c>
      <c r="AE135" s="1477">
        <v>210</v>
      </c>
      <c r="AF135" s="1477"/>
      <c r="AG135" s="684">
        <v>0</v>
      </c>
      <c r="AH135" s="684">
        <v>15</v>
      </c>
      <c r="AI135" s="684">
        <v>15</v>
      </c>
      <c r="AJ135" s="684">
        <v>30</v>
      </c>
      <c r="AK135" s="1477" t="s">
        <v>24</v>
      </c>
      <c r="AL135" s="1477"/>
      <c r="AM135" s="1467">
        <v>66.8</v>
      </c>
      <c r="AN135" s="1468"/>
      <c r="AO135" s="707">
        <v>0</v>
      </c>
      <c r="AP135" s="706"/>
      <c r="AQ135" s="706"/>
      <c r="AR135" s="706"/>
      <c r="AS135" s="1096"/>
      <c r="AT135" s="1146"/>
      <c r="AU135" s="1097"/>
    </row>
    <row r="136" spans="1:47" ht="15.6" customHeight="1" x14ac:dyDescent="0.25">
      <c r="A136" s="1146"/>
      <c r="B136" s="1531"/>
      <c r="C136" s="431" t="s">
        <v>306</v>
      </c>
      <c r="D136" s="687"/>
      <c r="E136" s="687"/>
      <c r="F136" s="687"/>
      <c r="G136" s="686">
        <v>22</v>
      </c>
      <c r="H136" s="1085">
        <v>3</v>
      </c>
      <c r="I136" s="1477">
        <v>200</v>
      </c>
      <c r="J136" s="1477"/>
      <c r="K136" s="684">
        <v>0</v>
      </c>
      <c r="L136" s="684">
        <v>20</v>
      </c>
      <c r="M136" s="684">
        <v>20</v>
      </c>
      <c r="N136" s="684">
        <v>40</v>
      </c>
      <c r="O136" s="1477" t="s">
        <v>18</v>
      </c>
      <c r="P136" s="1477"/>
      <c r="Q136" s="1467">
        <v>68.48</v>
      </c>
      <c r="R136" s="1468"/>
      <c r="S136" s="707" t="s">
        <v>32</v>
      </c>
      <c r="T136" s="132"/>
      <c r="U136" s="801"/>
      <c r="V136" s="801"/>
      <c r="W136" s="348"/>
      <c r="X136" s="1531"/>
      <c r="Y136" s="431" t="s">
        <v>306</v>
      </c>
      <c r="Z136" s="687"/>
      <c r="AA136" s="687"/>
      <c r="AB136" s="687"/>
      <c r="AC136" s="686">
        <v>22</v>
      </c>
      <c r="AD136" s="1085">
        <v>3</v>
      </c>
      <c r="AE136" s="1477">
        <v>200</v>
      </c>
      <c r="AF136" s="1477"/>
      <c r="AG136" s="684">
        <v>0</v>
      </c>
      <c r="AH136" s="684">
        <v>20</v>
      </c>
      <c r="AI136" s="684">
        <v>20</v>
      </c>
      <c r="AJ136" s="684">
        <v>40</v>
      </c>
      <c r="AK136" s="1477" t="s">
        <v>18</v>
      </c>
      <c r="AL136" s="1477"/>
      <c r="AM136" s="1467">
        <v>63.54</v>
      </c>
      <c r="AN136" s="1468"/>
      <c r="AO136" s="707">
        <v>0</v>
      </c>
      <c r="AP136" s="132"/>
      <c r="AQ136" s="801"/>
      <c r="AR136" s="801"/>
      <c r="AS136" s="348"/>
      <c r="AT136" s="1146"/>
      <c r="AU136" s="1097"/>
    </row>
    <row r="137" spans="1:47" ht="15.6" customHeight="1" x14ac:dyDescent="0.25">
      <c r="A137" s="1146"/>
      <c r="B137" s="1531"/>
      <c r="C137" s="431" t="s">
        <v>316</v>
      </c>
      <c r="D137" s="687"/>
      <c r="E137" s="687"/>
      <c r="F137" s="687"/>
      <c r="G137" s="686">
        <v>23</v>
      </c>
      <c r="H137" s="1085">
        <v>1</v>
      </c>
      <c r="I137" s="1477">
        <v>200</v>
      </c>
      <c r="J137" s="1477"/>
      <c r="K137" s="684">
        <v>0</v>
      </c>
      <c r="L137" s="684">
        <v>20</v>
      </c>
      <c r="M137" s="684">
        <v>20</v>
      </c>
      <c r="N137" s="684">
        <v>40</v>
      </c>
      <c r="O137" s="1477" t="s">
        <v>19</v>
      </c>
      <c r="P137" s="1477"/>
      <c r="Q137" s="1467">
        <v>69.319999999999993</v>
      </c>
      <c r="R137" s="1468"/>
      <c r="S137" s="707" t="s">
        <v>32</v>
      </c>
      <c r="T137" s="132"/>
      <c r="U137" s="801"/>
      <c r="V137" s="801"/>
      <c r="W137" s="348"/>
      <c r="X137" s="1531"/>
      <c r="Y137" s="431" t="s">
        <v>316</v>
      </c>
      <c r="Z137" s="687"/>
      <c r="AA137" s="687"/>
      <c r="AB137" s="687"/>
      <c r="AC137" s="686">
        <v>23</v>
      </c>
      <c r="AD137" s="1085">
        <v>1</v>
      </c>
      <c r="AE137" s="1477">
        <v>200</v>
      </c>
      <c r="AF137" s="1477"/>
      <c r="AG137" s="684">
        <v>0</v>
      </c>
      <c r="AH137" s="684">
        <v>20</v>
      </c>
      <c r="AI137" s="684">
        <v>20</v>
      </c>
      <c r="AJ137" s="684">
        <v>40</v>
      </c>
      <c r="AK137" s="1477" t="s">
        <v>19</v>
      </c>
      <c r="AL137" s="1477"/>
      <c r="AM137" s="1467">
        <v>64.37</v>
      </c>
      <c r="AN137" s="1468"/>
      <c r="AO137" s="707">
        <v>0</v>
      </c>
      <c r="AP137" s="132"/>
      <c r="AQ137" s="801"/>
      <c r="AR137" s="801"/>
      <c r="AS137" s="348"/>
      <c r="AT137" s="1146"/>
      <c r="AU137" s="1097"/>
    </row>
    <row r="138" spans="1:47" ht="15.6" customHeight="1" x14ac:dyDescent="0.25">
      <c r="A138" s="1146"/>
      <c r="B138" s="1531"/>
      <c r="C138" s="431" t="s">
        <v>319</v>
      </c>
      <c r="D138" s="687"/>
      <c r="E138" s="687"/>
      <c r="F138" s="687"/>
      <c r="G138" s="686">
        <v>24</v>
      </c>
      <c r="H138" s="1085">
        <v>3</v>
      </c>
      <c r="I138" s="1477">
        <v>200</v>
      </c>
      <c r="J138" s="1477"/>
      <c r="K138" s="684">
        <v>0</v>
      </c>
      <c r="L138" s="684">
        <v>20</v>
      </c>
      <c r="M138" s="684">
        <v>20</v>
      </c>
      <c r="N138" s="684">
        <v>40</v>
      </c>
      <c r="O138" s="1477" t="s">
        <v>20</v>
      </c>
      <c r="P138" s="1477"/>
      <c r="Q138" s="1467">
        <v>69.66</v>
      </c>
      <c r="R138" s="1468"/>
      <c r="S138" s="707" t="s">
        <v>32</v>
      </c>
      <c r="T138" s="55"/>
      <c r="U138" s="55"/>
      <c r="V138" s="801"/>
      <c r="W138" s="348"/>
      <c r="X138" s="1531"/>
      <c r="Y138" s="431" t="s">
        <v>319</v>
      </c>
      <c r="Z138" s="687"/>
      <c r="AA138" s="687"/>
      <c r="AB138" s="687"/>
      <c r="AC138" s="686">
        <v>24</v>
      </c>
      <c r="AD138" s="1085">
        <v>3</v>
      </c>
      <c r="AE138" s="1477">
        <v>200</v>
      </c>
      <c r="AF138" s="1477"/>
      <c r="AG138" s="684">
        <v>0</v>
      </c>
      <c r="AH138" s="684">
        <v>20</v>
      </c>
      <c r="AI138" s="684">
        <v>20</v>
      </c>
      <c r="AJ138" s="684">
        <v>40</v>
      </c>
      <c r="AK138" s="1477" t="s">
        <v>20</v>
      </c>
      <c r="AL138" s="1477"/>
      <c r="AM138" s="1467">
        <v>64.709999999999994</v>
      </c>
      <c r="AN138" s="1468"/>
      <c r="AO138" s="707">
        <v>0</v>
      </c>
      <c r="AP138" s="55"/>
      <c r="AQ138" s="55"/>
      <c r="AR138" s="801"/>
      <c r="AS138" s="348"/>
      <c r="AT138" s="1146"/>
      <c r="AU138" s="1097"/>
    </row>
    <row r="139" spans="1:47" ht="15.6" customHeight="1" x14ac:dyDescent="0.25">
      <c r="A139" s="1146"/>
      <c r="B139" s="1531"/>
      <c r="C139" s="431" t="s">
        <v>328</v>
      </c>
      <c r="D139" s="687"/>
      <c r="E139" s="687"/>
      <c r="F139" s="687"/>
      <c r="G139" s="686">
        <v>25</v>
      </c>
      <c r="H139" s="1085">
        <v>5</v>
      </c>
      <c r="I139" s="1477">
        <v>200</v>
      </c>
      <c r="J139" s="1477"/>
      <c r="K139" s="684">
        <v>0</v>
      </c>
      <c r="L139" s="684">
        <v>20</v>
      </c>
      <c r="M139" s="684">
        <v>20</v>
      </c>
      <c r="N139" s="684">
        <v>40</v>
      </c>
      <c r="O139" s="1477" t="s">
        <v>22</v>
      </c>
      <c r="P139" s="1477"/>
      <c r="Q139" s="1467">
        <v>70.16</v>
      </c>
      <c r="R139" s="1468"/>
      <c r="S139" s="707">
        <v>0</v>
      </c>
      <c r="T139" s="706"/>
      <c r="U139" s="706"/>
      <c r="V139" s="801"/>
      <c r="W139" s="348"/>
      <c r="X139" s="1531"/>
      <c r="Y139" s="431" t="s">
        <v>328</v>
      </c>
      <c r="Z139" s="687"/>
      <c r="AA139" s="687"/>
      <c r="AB139" s="687"/>
      <c r="AC139" s="686">
        <v>25</v>
      </c>
      <c r="AD139" s="1085">
        <v>5</v>
      </c>
      <c r="AE139" s="1477">
        <v>200</v>
      </c>
      <c r="AF139" s="1477"/>
      <c r="AG139" s="684">
        <v>0</v>
      </c>
      <c r="AH139" s="684">
        <v>20</v>
      </c>
      <c r="AI139" s="684">
        <v>20</v>
      </c>
      <c r="AJ139" s="684">
        <v>40</v>
      </c>
      <c r="AK139" s="1477" t="s">
        <v>22</v>
      </c>
      <c r="AL139" s="1477"/>
      <c r="AM139" s="1467">
        <v>65.209999999999994</v>
      </c>
      <c r="AN139" s="1468"/>
      <c r="AO139" s="707">
        <v>0</v>
      </c>
      <c r="AP139" s="706"/>
      <c r="AQ139" s="706"/>
      <c r="AR139" s="801"/>
      <c r="AS139" s="348"/>
      <c r="AT139" s="1146"/>
      <c r="AU139" s="1097"/>
    </row>
    <row r="140" spans="1:47" ht="15.6" customHeight="1" x14ac:dyDescent="0.25">
      <c r="A140" s="1146"/>
      <c r="B140" s="1531"/>
      <c r="C140" s="431" t="s">
        <v>357</v>
      </c>
      <c r="D140" s="687"/>
      <c r="E140" s="687"/>
      <c r="F140" s="687"/>
      <c r="G140" s="686">
        <v>26</v>
      </c>
      <c r="H140" s="1085">
        <v>2</v>
      </c>
      <c r="I140" s="1477">
        <v>200</v>
      </c>
      <c r="J140" s="1477"/>
      <c r="K140" s="684">
        <v>0</v>
      </c>
      <c r="L140" s="684">
        <v>20</v>
      </c>
      <c r="M140" s="684">
        <v>20</v>
      </c>
      <c r="N140" s="684">
        <v>40</v>
      </c>
      <c r="O140" s="1477" t="s">
        <v>23</v>
      </c>
      <c r="P140" s="1477"/>
      <c r="Q140" s="1467">
        <v>71.8</v>
      </c>
      <c r="R140" s="1468"/>
      <c r="S140" s="707">
        <v>0</v>
      </c>
      <c r="T140" s="706"/>
      <c r="U140" s="706"/>
      <c r="V140" s="801"/>
      <c r="W140" s="348"/>
      <c r="X140" s="1531"/>
      <c r="Y140" s="431" t="s">
        <v>357</v>
      </c>
      <c r="Z140" s="687"/>
      <c r="AA140" s="687"/>
      <c r="AB140" s="687"/>
      <c r="AC140" s="686">
        <v>26</v>
      </c>
      <c r="AD140" s="1085">
        <v>2</v>
      </c>
      <c r="AE140" s="1477">
        <v>200</v>
      </c>
      <c r="AF140" s="1477"/>
      <c r="AG140" s="684">
        <v>0</v>
      </c>
      <c r="AH140" s="684">
        <v>20</v>
      </c>
      <c r="AI140" s="684">
        <v>20</v>
      </c>
      <c r="AJ140" s="684">
        <v>40</v>
      </c>
      <c r="AK140" s="1477" t="s">
        <v>23</v>
      </c>
      <c r="AL140" s="1477"/>
      <c r="AM140" s="1467">
        <v>66.88</v>
      </c>
      <c r="AN140" s="1468"/>
      <c r="AO140" s="707">
        <v>0</v>
      </c>
      <c r="AP140" s="706"/>
      <c r="AQ140" s="706"/>
      <c r="AR140" s="801"/>
      <c r="AS140" s="348"/>
      <c r="AT140" s="1146"/>
      <c r="AU140" s="1097"/>
    </row>
    <row r="141" spans="1:47" ht="15.6" customHeight="1" x14ac:dyDescent="0.25">
      <c r="A141" s="1146"/>
      <c r="B141" s="1531"/>
      <c r="C141" s="431" t="s">
        <v>345</v>
      </c>
      <c r="D141" s="687"/>
      <c r="E141" s="687"/>
      <c r="F141" s="687"/>
      <c r="G141" s="686">
        <v>26</v>
      </c>
      <c r="H141" s="1085">
        <v>3</v>
      </c>
      <c r="I141" s="1477">
        <v>200</v>
      </c>
      <c r="J141" s="1477"/>
      <c r="K141" s="684"/>
      <c r="L141" s="684">
        <v>20</v>
      </c>
      <c r="M141" s="684">
        <v>20</v>
      </c>
      <c r="N141" s="684">
        <v>40</v>
      </c>
      <c r="O141" s="1477" t="s">
        <v>23</v>
      </c>
      <c r="P141" s="1477"/>
      <c r="Q141" s="1468">
        <v>71</v>
      </c>
      <c r="R141" s="1478"/>
      <c r="S141" s="707">
        <v>0</v>
      </c>
      <c r="T141" s="706"/>
      <c r="U141" s="706"/>
      <c r="V141" s="801"/>
      <c r="W141" s="348"/>
      <c r="X141" s="1531"/>
      <c r="Y141" s="431" t="s">
        <v>345</v>
      </c>
      <c r="Z141" s="687"/>
      <c r="AA141" s="687"/>
      <c r="AB141" s="687"/>
      <c r="AC141" s="686">
        <v>26</v>
      </c>
      <c r="AD141" s="1085">
        <v>3</v>
      </c>
      <c r="AE141" s="1477">
        <v>200</v>
      </c>
      <c r="AF141" s="1477"/>
      <c r="AG141" s="684"/>
      <c r="AH141" s="684">
        <v>20</v>
      </c>
      <c r="AI141" s="684">
        <v>20</v>
      </c>
      <c r="AJ141" s="684">
        <v>40</v>
      </c>
      <c r="AK141" s="1477" t="s">
        <v>23</v>
      </c>
      <c r="AL141" s="1477"/>
      <c r="AM141" s="1468">
        <v>66.040000000000006</v>
      </c>
      <c r="AN141" s="1478"/>
      <c r="AO141" s="707">
        <v>0</v>
      </c>
      <c r="AP141" s="706"/>
      <c r="AQ141" s="706"/>
      <c r="AR141" s="801"/>
      <c r="AS141" s="348"/>
      <c r="AT141" s="1146"/>
      <c r="AU141" s="1097"/>
    </row>
    <row r="142" spans="1:47" ht="15.6" customHeight="1" x14ac:dyDescent="0.25">
      <c r="A142" s="1146"/>
      <c r="B142" s="1531"/>
      <c r="C142" s="431" t="s">
        <v>359</v>
      </c>
      <c r="D142" s="687"/>
      <c r="E142" s="687"/>
      <c r="F142" s="687"/>
      <c r="G142" s="686">
        <v>27</v>
      </c>
      <c r="H142" s="1085">
        <v>3</v>
      </c>
      <c r="I142" s="1477">
        <v>200</v>
      </c>
      <c r="J142" s="1477"/>
      <c r="K142" s="684">
        <v>0</v>
      </c>
      <c r="L142" s="684">
        <v>20</v>
      </c>
      <c r="M142" s="684">
        <v>20</v>
      </c>
      <c r="N142" s="684">
        <v>40</v>
      </c>
      <c r="O142" s="1477" t="s">
        <v>24</v>
      </c>
      <c r="P142" s="1477"/>
      <c r="Q142" s="1467">
        <v>71.84</v>
      </c>
      <c r="R142" s="1468"/>
      <c r="S142" s="707">
        <v>0</v>
      </c>
      <c r="T142" s="706"/>
      <c r="U142" s="706"/>
      <c r="V142" s="801"/>
      <c r="W142" s="348"/>
      <c r="X142" s="1531"/>
      <c r="Y142" s="431" t="s">
        <v>359</v>
      </c>
      <c r="Z142" s="687"/>
      <c r="AA142" s="687"/>
      <c r="AB142" s="687"/>
      <c r="AC142" s="686">
        <v>27</v>
      </c>
      <c r="AD142" s="1085">
        <v>3</v>
      </c>
      <c r="AE142" s="1477">
        <v>200</v>
      </c>
      <c r="AF142" s="1477"/>
      <c r="AG142" s="684">
        <v>0</v>
      </c>
      <c r="AH142" s="684">
        <v>20</v>
      </c>
      <c r="AI142" s="684">
        <v>20</v>
      </c>
      <c r="AJ142" s="684">
        <v>40</v>
      </c>
      <c r="AK142" s="1477" t="s">
        <v>24</v>
      </c>
      <c r="AL142" s="1477"/>
      <c r="AM142" s="1467">
        <v>66.87</v>
      </c>
      <c r="AN142" s="1468"/>
      <c r="AO142" s="707">
        <v>0</v>
      </c>
      <c r="AP142" s="706"/>
      <c r="AQ142" s="706"/>
      <c r="AR142" s="801"/>
      <c r="AS142" s="348"/>
      <c r="AT142" s="1146"/>
      <c r="AU142" s="1097"/>
    </row>
    <row r="143" spans="1:47" ht="15.6" customHeight="1" x14ac:dyDescent="0.25">
      <c r="A143" s="1146"/>
      <c r="B143" s="1531"/>
      <c r="C143" s="431" t="s">
        <v>368</v>
      </c>
      <c r="D143" s="687"/>
      <c r="E143" s="687"/>
      <c r="F143" s="687"/>
      <c r="G143" s="686">
        <v>28</v>
      </c>
      <c r="H143" s="1085">
        <v>1</v>
      </c>
      <c r="I143" s="1477">
        <v>180</v>
      </c>
      <c r="J143" s="1477"/>
      <c r="K143" s="684">
        <v>0</v>
      </c>
      <c r="L143" s="684">
        <v>45</v>
      </c>
      <c r="M143" s="684">
        <v>15</v>
      </c>
      <c r="N143" s="684">
        <v>60</v>
      </c>
      <c r="O143" s="1477" t="s">
        <v>16</v>
      </c>
      <c r="P143" s="1477"/>
      <c r="Q143" s="1467">
        <v>67.78</v>
      </c>
      <c r="R143" s="1468"/>
      <c r="S143" s="707">
        <v>0</v>
      </c>
      <c r="T143" s="706"/>
      <c r="U143" s="706"/>
      <c r="V143" s="801"/>
      <c r="W143" s="348"/>
      <c r="X143" s="1531"/>
      <c r="Y143" s="431" t="s">
        <v>368</v>
      </c>
      <c r="Z143" s="687"/>
      <c r="AA143" s="687"/>
      <c r="AB143" s="687"/>
      <c r="AC143" s="686">
        <v>28</v>
      </c>
      <c r="AD143" s="1085">
        <v>1</v>
      </c>
      <c r="AE143" s="1477">
        <v>180</v>
      </c>
      <c r="AF143" s="1477"/>
      <c r="AG143" s="684">
        <v>0</v>
      </c>
      <c r="AH143" s="684">
        <v>45</v>
      </c>
      <c r="AI143" s="684">
        <v>15</v>
      </c>
      <c r="AJ143" s="684">
        <v>60</v>
      </c>
      <c r="AK143" s="1477" t="s">
        <v>16</v>
      </c>
      <c r="AL143" s="1477"/>
      <c r="AM143" s="1467">
        <v>62.17</v>
      </c>
      <c r="AN143" s="1468"/>
      <c r="AO143" s="707">
        <v>0</v>
      </c>
      <c r="AP143" s="706"/>
      <c r="AQ143" s="706"/>
      <c r="AR143" s="801"/>
      <c r="AS143" s="348"/>
      <c r="AT143" s="1146"/>
      <c r="AU143" s="1097"/>
    </row>
    <row r="144" spans="1:47" ht="15.6" customHeight="1" x14ac:dyDescent="0.25">
      <c r="A144" s="1146"/>
      <c r="B144" s="1531"/>
      <c r="C144" s="431" t="s">
        <v>371</v>
      </c>
      <c r="D144" s="687"/>
      <c r="E144" s="687"/>
      <c r="F144" s="687"/>
      <c r="G144" s="686">
        <v>28</v>
      </c>
      <c r="H144" s="1085">
        <v>1</v>
      </c>
      <c r="I144" s="1477">
        <v>180</v>
      </c>
      <c r="J144" s="1477"/>
      <c r="K144" s="684">
        <v>0</v>
      </c>
      <c r="L144" s="684">
        <v>40</v>
      </c>
      <c r="M144" s="684">
        <v>20</v>
      </c>
      <c r="N144" s="684">
        <v>60</v>
      </c>
      <c r="O144" s="1477" t="s">
        <v>16</v>
      </c>
      <c r="P144" s="1477"/>
      <c r="Q144" s="1467">
        <v>67.849999999999994</v>
      </c>
      <c r="R144" s="1468"/>
      <c r="S144" s="707">
        <v>0</v>
      </c>
      <c r="T144" s="706"/>
      <c r="U144" s="706"/>
      <c r="V144" s="801"/>
      <c r="W144" s="348"/>
      <c r="X144" s="1531"/>
      <c r="Y144" s="431" t="s">
        <v>371</v>
      </c>
      <c r="Z144" s="687"/>
      <c r="AA144" s="687"/>
      <c r="AB144" s="687"/>
      <c r="AC144" s="686">
        <v>28</v>
      </c>
      <c r="AD144" s="1085">
        <v>1</v>
      </c>
      <c r="AE144" s="1477">
        <v>180</v>
      </c>
      <c r="AF144" s="1477"/>
      <c r="AG144" s="684">
        <v>0</v>
      </c>
      <c r="AH144" s="684">
        <v>40</v>
      </c>
      <c r="AI144" s="684">
        <v>20</v>
      </c>
      <c r="AJ144" s="684">
        <v>60</v>
      </c>
      <c r="AK144" s="1477" t="s">
        <v>16</v>
      </c>
      <c r="AL144" s="1477"/>
      <c r="AM144" s="1467">
        <v>62.13</v>
      </c>
      <c r="AN144" s="1468"/>
      <c r="AO144" s="707">
        <v>0</v>
      </c>
      <c r="AP144" s="706"/>
      <c r="AQ144" s="706"/>
      <c r="AR144" s="801"/>
      <c r="AS144" s="348"/>
      <c r="AT144" s="1146"/>
      <c r="AU144" s="1097"/>
    </row>
    <row r="145" spans="1:47" ht="15.6" customHeight="1" x14ac:dyDescent="0.25">
      <c r="A145" s="1146"/>
      <c r="B145" s="1531"/>
      <c r="C145" s="431" t="s">
        <v>375</v>
      </c>
      <c r="D145" s="687"/>
      <c r="E145" s="687"/>
      <c r="F145" s="687"/>
      <c r="G145" s="686">
        <v>28</v>
      </c>
      <c r="H145" s="1085">
        <v>1</v>
      </c>
      <c r="I145" s="1477">
        <v>180</v>
      </c>
      <c r="J145" s="1477"/>
      <c r="K145" s="684">
        <v>0</v>
      </c>
      <c r="L145" s="684">
        <v>30</v>
      </c>
      <c r="M145" s="684">
        <v>30</v>
      </c>
      <c r="N145" s="684">
        <v>60</v>
      </c>
      <c r="O145" s="1477" t="s">
        <v>16</v>
      </c>
      <c r="P145" s="1477"/>
      <c r="Q145" s="1467">
        <v>67.5</v>
      </c>
      <c r="R145" s="1468"/>
      <c r="S145" s="707">
        <v>0</v>
      </c>
      <c r="T145" s="1538"/>
      <c r="U145" s="1394"/>
      <c r="V145" s="1394"/>
      <c r="W145" s="1539"/>
      <c r="X145" s="1531"/>
      <c r="Y145" s="431" t="s">
        <v>375</v>
      </c>
      <c r="Z145" s="687"/>
      <c r="AA145" s="687"/>
      <c r="AB145" s="687"/>
      <c r="AC145" s="686">
        <v>28</v>
      </c>
      <c r="AD145" s="1085">
        <v>1</v>
      </c>
      <c r="AE145" s="1477">
        <v>180</v>
      </c>
      <c r="AF145" s="1477"/>
      <c r="AG145" s="684">
        <v>0</v>
      </c>
      <c r="AH145" s="684">
        <v>30</v>
      </c>
      <c r="AI145" s="684">
        <v>30</v>
      </c>
      <c r="AJ145" s="684">
        <v>60</v>
      </c>
      <c r="AK145" s="1477" t="s">
        <v>16</v>
      </c>
      <c r="AL145" s="1477"/>
      <c r="AM145" s="1467">
        <v>62.08</v>
      </c>
      <c r="AN145" s="1468"/>
      <c r="AO145" s="707">
        <v>0</v>
      </c>
      <c r="AP145" s="1538"/>
      <c r="AQ145" s="1394"/>
      <c r="AR145" s="1394"/>
      <c r="AS145" s="1539"/>
      <c r="AT145" s="1146"/>
      <c r="AU145" s="1097"/>
    </row>
    <row r="146" spans="1:47" ht="15.6" customHeight="1" x14ac:dyDescent="0.25">
      <c r="A146" s="1146"/>
      <c r="B146" s="1531"/>
      <c r="C146" s="431" t="s">
        <v>378</v>
      </c>
      <c r="D146" s="687"/>
      <c r="E146" s="687"/>
      <c r="F146" s="687"/>
      <c r="G146" s="686">
        <v>28</v>
      </c>
      <c r="H146" s="1085">
        <v>1</v>
      </c>
      <c r="I146" s="1477">
        <v>180</v>
      </c>
      <c r="J146" s="1477"/>
      <c r="K146" s="684">
        <v>0</v>
      </c>
      <c r="L146" s="684">
        <v>60</v>
      </c>
      <c r="M146" s="684">
        <v>0</v>
      </c>
      <c r="N146" s="684">
        <v>60</v>
      </c>
      <c r="O146" s="1477" t="s">
        <v>16</v>
      </c>
      <c r="P146" s="1477"/>
      <c r="Q146" s="1467">
        <v>67.84</v>
      </c>
      <c r="R146" s="1468"/>
      <c r="S146" s="707">
        <v>0</v>
      </c>
      <c r="T146" s="1538"/>
      <c r="U146" s="1394"/>
      <c r="V146" s="1394"/>
      <c r="W146" s="1539"/>
      <c r="X146" s="1531"/>
      <c r="Y146" s="431" t="s">
        <v>378</v>
      </c>
      <c r="Z146" s="687"/>
      <c r="AA146" s="687"/>
      <c r="AB146" s="687"/>
      <c r="AC146" s="686">
        <v>28</v>
      </c>
      <c r="AD146" s="1085">
        <v>1</v>
      </c>
      <c r="AE146" s="1477">
        <v>180</v>
      </c>
      <c r="AF146" s="1477"/>
      <c r="AG146" s="684">
        <v>0</v>
      </c>
      <c r="AH146" s="684">
        <v>60</v>
      </c>
      <c r="AI146" s="684">
        <v>0</v>
      </c>
      <c r="AJ146" s="684">
        <v>60</v>
      </c>
      <c r="AK146" s="1477" t="s">
        <v>16</v>
      </c>
      <c r="AL146" s="1477"/>
      <c r="AM146" s="1467">
        <v>62.19</v>
      </c>
      <c r="AN146" s="1468"/>
      <c r="AO146" s="707">
        <v>0</v>
      </c>
      <c r="AP146" s="1538"/>
      <c r="AQ146" s="1394"/>
      <c r="AR146" s="1394"/>
      <c r="AS146" s="1539"/>
      <c r="AT146" s="1146"/>
      <c r="AU146" s="1097"/>
    </row>
    <row r="147" spans="1:47" ht="15.6" customHeight="1" x14ac:dyDescent="0.25">
      <c r="A147" s="1146"/>
      <c r="B147" s="1531"/>
      <c r="C147" s="431" t="s">
        <v>1053</v>
      </c>
      <c r="D147" s="687"/>
      <c r="E147" s="687"/>
      <c r="F147" s="687"/>
      <c r="G147" s="686">
        <v>28</v>
      </c>
      <c r="H147" s="1085">
        <v>1</v>
      </c>
      <c r="I147" s="1477">
        <v>180</v>
      </c>
      <c r="J147" s="1477"/>
      <c r="K147" s="684">
        <v>0</v>
      </c>
      <c r="L147" s="684">
        <v>0</v>
      </c>
      <c r="M147" s="684">
        <v>0</v>
      </c>
      <c r="N147" s="684">
        <v>60</v>
      </c>
      <c r="O147" s="1477" t="s">
        <v>16</v>
      </c>
      <c r="P147" s="1477"/>
      <c r="Q147" s="1467">
        <v>69.099999999999994</v>
      </c>
      <c r="R147" s="1468"/>
      <c r="S147" s="707" t="s">
        <v>32</v>
      </c>
      <c r="T147" s="1538"/>
      <c r="U147" s="1394"/>
      <c r="V147" s="1394"/>
      <c r="W147" s="1539"/>
      <c r="X147" s="1531"/>
      <c r="Y147" s="431" t="s">
        <v>1053</v>
      </c>
      <c r="Z147" s="687"/>
      <c r="AA147" s="687"/>
      <c r="AB147" s="687"/>
      <c r="AC147" s="686">
        <v>28</v>
      </c>
      <c r="AD147" s="1085">
        <v>1</v>
      </c>
      <c r="AE147" s="1477">
        <v>180</v>
      </c>
      <c r="AF147" s="1477"/>
      <c r="AG147" s="684">
        <v>0</v>
      </c>
      <c r="AH147" s="684">
        <v>0</v>
      </c>
      <c r="AI147" s="684">
        <v>0</v>
      </c>
      <c r="AJ147" s="684">
        <v>60</v>
      </c>
      <c r="AK147" s="1477" t="s">
        <v>16</v>
      </c>
      <c r="AL147" s="1477"/>
      <c r="AM147" s="1467">
        <v>62.48</v>
      </c>
      <c r="AN147" s="1468"/>
      <c r="AO147" s="707">
        <v>0</v>
      </c>
      <c r="AP147" s="1538"/>
      <c r="AQ147" s="1394"/>
      <c r="AR147" s="1394"/>
      <c r="AS147" s="1539"/>
      <c r="AT147" s="1146"/>
      <c r="AU147" s="1097"/>
    </row>
    <row r="148" spans="1:47" ht="15.6" customHeight="1" x14ac:dyDescent="0.25">
      <c r="A148" s="1146"/>
      <c r="B148" s="1531"/>
      <c r="C148" s="431" t="s">
        <v>384</v>
      </c>
      <c r="D148" s="687"/>
      <c r="E148" s="687"/>
      <c r="F148" s="687"/>
      <c r="G148" s="686">
        <v>29</v>
      </c>
      <c r="H148" s="1085">
        <v>2</v>
      </c>
      <c r="I148" s="1477">
        <v>180</v>
      </c>
      <c r="J148" s="1477"/>
      <c r="K148" s="684">
        <v>0</v>
      </c>
      <c r="L148" s="684">
        <v>30</v>
      </c>
      <c r="M148" s="684">
        <v>30</v>
      </c>
      <c r="N148" s="684">
        <v>60</v>
      </c>
      <c r="O148" s="1477" t="s">
        <v>23</v>
      </c>
      <c r="P148" s="1477"/>
      <c r="Q148" s="1467">
        <v>71.58</v>
      </c>
      <c r="R148" s="1468"/>
      <c r="S148" s="707">
        <v>0</v>
      </c>
      <c r="T148" s="1538"/>
      <c r="U148" s="1394"/>
      <c r="V148" s="1394"/>
      <c r="W148" s="1539"/>
      <c r="X148" s="1531"/>
      <c r="Y148" s="431" t="s">
        <v>384</v>
      </c>
      <c r="Z148" s="687"/>
      <c r="AA148" s="687"/>
      <c r="AB148" s="687"/>
      <c r="AC148" s="686">
        <v>29</v>
      </c>
      <c r="AD148" s="1085">
        <v>2</v>
      </c>
      <c r="AE148" s="1477">
        <v>180</v>
      </c>
      <c r="AF148" s="1477"/>
      <c r="AG148" s="684">
        <v>0</v>
      </c>
      <c r="AH148" s="684">
        <v>30</v>
      </c>
      <c r="AI148" s="684">
        <v>30</v>
      </c>
      <c r="AJ148" s="684">
        <v>60</v>
      </c>
      <c r="AK148" s="1477" t="s">
        <v>23</v>
      </c>
      <c r="AL148" s="1477"/>
      <c r="AM148" s="1467">
        <v>66.209999999999994</v>
      </c>
      <c r="AN148" s="1468"/>
      <c r="AO148" s="707">
        <v>0</v>
      </c>
      <c r="AP148" s="1538"/>
      <c r="AQ148" s="1394"/>
      <c r="AR148" s="1394"/>
      <c r="AS148" s="1539"/>
      <c r="AT148" s="1146"/>
      <c r="AU148" s="1097"/>
    </row>
    <row r="149" spans="1:47" ht="15.6" customHeight="1" x14ac:dyDescent="0.25">
      <c r="A149" s="1146"/>
      <c r="B149" s="1531"/>
      <c r="C149" s="431" t="s">
        <v>392</v>
      </c>
      <c r="D149" s="687"/>
      <c r="E149" s="687"/>
      <c r="F149" s="687"/>
      <c r="G149" s="686">
        <v>30</v>
      </c>
      <c r="H149" s="1085">
        <v>1</v>
      </c>
      <c r="I149" s="1477">
        <v>180</v>
      </c>
      <c r="J149" s="1477"/>
      <c r="K149" s="684">
        <v>0</v>
      </c>
      <c r="L149" s="684">
        <v>30</v>
      </c>
      <c r="M149" s="684">
        <v>30</v>
      </c>
      <c r="N149" s="684">
        <v>60</v>
      </c>
      <c r="O149" s="1477" t="s">
        <v>24</v>
      </c>
      <c r="P149" s="1477"/>
      <c r="Q149" s="1467">
        <v>72.400000000000006</v>
      </c>
      <c r="R149" s="1468"/>
      <c r="S149" s="707">
        <v>0</v>
      </c>
      <c r="T149" s="1538"/>
      <c r="U149" s="1394"/>
      <c r="V149" s="1394"/>
      <c r="W149" s="1539"/>
      <c r="X149" s="1531"/>
      <c r="Y149" s="431" t="s">
        <v>392</v>
      </c>
      <c r="Z149" s="687"/>
      <c r="AA149" s="687"/>
      <c r="AB149" s="687"/>
      <c r="AC149" s="686">
        <v>30</v>
      </c>
      <c r="AD149" s="1085">
        <v>1</v>
      </c>
      <c r="AE149" s="1477">
        <v>180</v>
      </c>
      <c r="AF149" s="1477"/>
      <c r="AG149" s="684">
        <v>0</v>
      </c>
      <c r="AH149" s="684">
        <v>30</v>
      </c>
      <c r="AI149" s="684">
        <v>30</v>
      </c>
      <c r="AJ149" s="684">
        <v>60</v>
      </c>
      <c r="AK149" s="1477" t="s">
        <v>24</v>
      </c>
      <c r="AL149" s="1477"/>
      <c r="AM149" s="1467">
        <v>67.03</v>
      </c>
      <c r="AN149" s="1468"/>
      <c r="AO149" s="707">
        <v>0</v>
      </c>
      <c r="AP149" s="1538"/>
      <c r="AQ149" s="1394"/>
      <c r="AR149" s="1394"/>
      <c r="AS149" s="1539"/>
      <c r="AT149" s="1146"/>
      <c r="AU149" s="1097"/>
    </row>
    <row r="150" spans="1:47" ht="15.6" customHeight="1" x14ac:dyDescent="0.25">
      <c r="A150" s="1146"/>
      <c r="B150" s="1531"/>
      <c r="C150" s="704" t="s">
        <v>925</v>
      </c>
      <c r="D150" s="687"/>
      <c r="E150" s="687"/>
      <c r="F150" s="687"/>
      <c r="G150" s="686">
        <v>31</v>
      </c>
      <c r="H150" s="1085">
        <v>1</v>
      </c>
      <c r="I150" s="1477">
        <v>160</v>
      </c>
      <c r="J150" s="1477"/>
      <c r="K150" s="684"/>
      <c r="L150" s="684"/>
      <c r="M150" s="684"/>
      <c r="N150" s="684">
        <v>80</v>
      </c>
      <c r="O150" s="1477" t="s">
        <v>16</v>
      </c>
      <c r="P150" s="1477"/>
      <c r="Q150" s="1467">
        <v>71</v>
      </c>
      <c r="R150" s="1468"/>
      <c r="S150" s="707">
        <v>0</v>
      </c>
      <c r="T150" s="1538"/>
      <c r="U150" s="1394"/>
      <c r="V150" s="1394"/>
      <c r="W150" s="1539"/>
      <c r="X150" s="1531"/>
      <c r="Y150" s="704" t="s">
        <v>925</v>
      </c>
      <c r="Z150" s="687"/>
      <c r="AA150" s="687"/>
      <c r="AB150" s="687"/>
      <c r="AC150" s="686">
        <v>31</v>
      </c>
      <c r="AD150" s="1085">
        <v>1</v>
      </c>
      <c r="AE150" s="1477">
        <v>160</v>
      </c>
      <c r="AF150" s="1477"/>
      <c r="AG150" s="684"/>
      <c r="AH150" s="684"/>
      <c r="AI150" s="684"/>
      <c r="AJ150" s="684">
        <v>80</v>
      </c>
      <c r="AK150" s="1477" t="s">
        <v>16</v>
      </c>
      <c r="AL150" s="1477"/>
      <c r="AM150" s="1467">
        <v>72.84</v>
      </c>
      <c r="AN150" s="1468"/>
      <c r="AO150" s="707">
        <v>0</v>
      </c>
      <c r="AP150" s="1538"/>
      <c r="AQ150" s="1394"/>
      <c r="AR150" s="1394"/>
      <c r="AS150" s="1539"/>
      <c r="AT150" s="1146"/>
      <c r="AU150" s="1097"/>
    </row>
    <row r="151" spans="1:47" ht="15.6" customHeight="1" x14ac:dyDescent="0.25">
      <c r="A151" s="1146"/>
      <c r="B151" s="1531"/>
      <c r="C151" s="431" t="s">
        <v>399</v>
      </c>
      <c r="D151" s="687"/>
      <c r="E151" s="687"/>
      <c r="F151" s="687"/>
      <c r="G151" s="686">
        <v>32</v>
      </c>
      <c r="H151" s="1085">
        <v>1</v>
      </c>
      <c r="I151" s="1477">
        <v>160</v>
      </c>
      <c r="J151" s="1477"/>
      <c r="K151" s="684">
        <v>0</v>
      </c>
      <c r="L151" s="684">
        <v>80</v>
      </c>
      <c r="M151" s="684">
        <v>0</v>
      </c>
      <c r="N151" s="684">
        <v>80</v>
      </c>
      <c r="O151" s="1466" t="s">
        <v>1128</v>
      </c>
      <c r="P151" s="1466"/>
      <c r="Q151" s="1467">
        <v>71.459999999999994</v>
      </c>
      <c r="R151" s="1468"/>
      <c r="S151" s="707">
        <v>0</v>
      </c>
      <c r="T151" s="1538"/>
      <c r="U151" s="1394"/>
      <c r="V151" s="1394"/>
      <c r="W151" s="1539"/>
      <c r="X151" s="1531"/>
      <c r="Y151" s="431" t="s">
        <v>399</v>
      </c>
      <c r="Z151" s="687"/>
      <c r="AA151" s="687"/>
      <c r="AB151" s="687"/>
      <c r="AC151" s="686">
        <v>32</v>
      </c>
      <c r="AD151" s="1085">
        <v>1</v>
      </c>
      <c r="AE151" s="1477">
        <v>160</v>
      </c>
      <c r="AF151" s="1477"/>
      <c r="AG151" s="684">
        <v>0</v>
      </c>
      <c r="AH151" s="684">
        <v>80</v>
      </c>
      <c r="AI151" s="684">
        <v>0</v>
      </c>
      <c r="AJ151" s="684">
        <v>80</v>
      </c>
      <c r="AK151" s="1466" t="s">
        <v>1128</v>
      </c>
      <c r="AL151" s="1466"/>
      <c r="AM151" s="1467">
        <v>67.25</v>
      </c>
      <c r="AN151" s="1468"/>
      <c r="AO151" s="707">
        <v>0</v>
      </c>
      <c r="AP151" s="1538"/>
      <c r="AQ151" s="1394"/>
      <c r="AR151" s="1394"/>
      <c r="AS151" s="1539"/>
      <c r="AT151" s="1146"/>
      <c r="AU151" s="1097"/>
    </row>
    <row r="152" spans="1:47" ht="15.6" customHeight="1" x14ac:dyDescent="0.25">
      <c r="A152" s="1147"/>
      <c r="B152" s="1531"/>
      <c r="C152" s="431" t="s">
        <v>405</v>
      </c>
      <c r="D152" s="687"/>
      <c r="E152" s="687"/>
      <c r="F152" s="687"/>
      <c r="G152" s="453">
        <v>33</v>
      </c>
      <c r="H152" s="1086">
        <v>1</v>
      </c>
      <c r="I152" s="1469">
        <v>120</v>
      </c>
      <c r="J152" s="1469"/>
      <c r="K152" s="617" t="s">
        <v>408</v>
      </c>
      <c r="L152" s="617">
        <v>90</v>
      </c>
      <c r="M152" s="617">
        <v>30</v>
      </c>
      <c r="N152" s="617">
        <v>120</v>
      </c>
      <c r="O152" s="1469" t="s">
        <v>16</v>
      </c>
      <c r="P152" s="1469"/>
      <c r="Q152" s="1470">
        <v>72.75</v>
      </c>
      <c r="R152" s="1471"/>
      <c r="S152" s="707">
        <v>0</v>
      </c>
      <c r="T152" s="1538"/>
      <c r="U152" s="1394"/>
      <c r="V152" s="1394"/>
      <c r="W152" s="1539"/>
      <c r="X152" s="1531"/>
      <c r="Y152" s="431" t="s">
        <v>405</v>
      </c>
      <c r="Z152" s="687"/>
      <c r="AA152" s="687"/>
      <c r="AB152" s="687"/>
      <c r="AC152" s="453">
        <v>33</v>
      </c>
      <c r="AD152" s="1086">
        <v>1</v>
      </c>
      <c r="AE152" s="1469">
        <v>120</v>
      </c>
      <c r="AF152" s="1469"/>
      <c r="AG152" s="617" t="s">
        <v>408</v>
      </c>
      <c r="AH152" s="617">
        <v>90</v>
      </c>
      <c r="AI152" s="617">
        <v>30</v>
      </c>
      <c r="AJ152" s="617">
        <v>120</v>
      </c>
      <c r="AK152" s="1469" t="s">
        <v>16</v>
      </c>
      <c r="AL152" s="1469"/>
      <c r="AM152" s="1470">
        <v>66.5</v>
      </c>
      <c r="AN152" s="1471"/>
      <c r="AO152" s="707">
        <v>0</v>
      </c>
      <c r="AP152" s="1538"/>
      <c r="AQ152" s="1394"/>
      <c r="AR152" s="1394"/>
      <c r="AS152" s="1539"/>
      <c r="AT152" s="1147"/>
      <c r="AU152" s="1097"/>
    </row>
    <row r="153" spans="1:47" ht="15.6" customHeight="1" x14ac:dyDescent="0.25">
      <c r="A153" s="1148"/>
      <c r="B153" s="1531"/>
      <c r="C153" s="690" t="s">
        <v>947</v>
      </c>
      <c r="D153" s="442"/>
      <c r="E153" s="442"/>
      <c r="F153" s="442"/>
      <c r="G153" s="313"/>
      <c r="H153" s="1087" t="s">
        <v>29</v>
      </c>
      <c r="I153" s="691"/>
      <c r="J153" s="312"/>
      <c r="K153" s="1187"/>
      <c r="L153" s="1187"/>
      <c r="M153" s="1187"/>
      <c r="N153" s="1187"/>
      <c r="O153" s="1182"/>
      <c r="P153" s="313"/>
      <c r="Q153" s="708"/>
      <c r="R153" s="795"/>
      <c r="S153" s="1075"/>
      <c r="T153" s="1394"/>
      <c r="U153" s="1394"/>
      <c r="V153" s="1394"/>
      <c r="W153" s="1539"/>
      <c r="X153" s="1531"/>
      <c r="Y153" s="690" t="s">
        <v>947</v>
      </c>
      <c r="Z153" s="442"/>
      <c r="AA153" s="442"/>
      <c r="AB153" s="442"/>
      <c r="AC153" s="313"/>
      <c r="AD153" s="1087" t="s">
        <v>29</v>
      </c>
      <c r="AE153" s="691"/>
      <c r="AF153" s="312"/>
      <c r="AG153" s="1187"/>
      <c r="AH153" s="1187"/>
      <c r="AI153" s="1187"/>
      <c r="AJ153" s="1187"/>
      <c r="AK153" s="1182"/>
      <c r="AL153" s="313"/>
      <c r="AM153" s="708"/>
      <c r="AN153" s="795"/>
      <c r="AO153" s="1075"/>
      <c r="AP153" s="1394"/>
      <c r="AQ153" s="1394"/>
      <c r="AR153" s="1394"/>
      <c r="AS153" s="1539"/>
      <c r="AT153" s="1148"/>
      <c r="AU153" s="1097"/>
    </row>
    <row r="154" spans="1:47" ht="15.6" customHeight="1" x14ac:dyDescent="0.25">
      <c r="A154" s="1148"/>
      <c r="B154" s="1531"/>
      <c r="C154" s="704" t="s">
        <v>970</v>
      </c>
      <c r="D154" s="688"/>
      <c r="E154" s="688"/>
      <c r="F154" s="688"/>
      <c r="G154" s="413">
        <v>35</v>
      </c>
      <c r="H154" s="1088">
        <v>10</v>
      </c>
      <c r="I154" s="1472">
        <v>120</v>
      </c>
      <c r="J154" s="1472"/>
      <c r="K154" s="618">
        <v>0</v>
      </c>
      <c r="L154" s="618">
        <v>0</v>
      </c>
      <c r="M154" s="618">
        <v>0</v>
      </c>
      <c r="N154" s="618">
        <v>0</v>
      </c>
      <c r="O154" s="1472" t="s">
        <v>417</v>
      </c>
      <c r="P154" s="1472"/>
      <c r="Q154" s="1473">
        <v>73.67</v>
      </c>
      <c r="R154" s="1474"/>
      <c r="S154" s="707">
        <v>0</v>
      </c>
      <c r="T154" s="1538"/>
      <c r="U154" s="1394"/>
      <c r="V154" s="1394"/>
      <c r="W154" s="1539"/>
      <c r="X154" s="1531"/>
      <c r="Y154" s="704" t="s">
        <v>970</v>
      </c>
      <c r="Z154" s="688"/>
      <c r="AA154" s="688"/>
      <c r="AB154" s="688"/>
      <c r="AC154" s="413">
        <v>35</v>
      </c>
      <c r="AD154" s="1088">
        <v>10</v>
      </c>
      <c r="AE154" s="1472">
        <v>120</v>
      </c>
      <c r="AF154" s="1472"/>
      <c r="AG154" s="618">
        <v>0</v>
      </c>
      <c r="AH154" s="618">
        <v>0</v>
      </c>
      <c r="AI154" s="618">
        <v>0</v>
      </c>
      <c r="AJ154" s="618">
        <v>0</v>
      </c>
      <c r="AK154" s="1472" t="s">
        <v>417</v>
      </c>
      <c r="AL154" s="1472"/>
      <c r="AM154" s="1473">
        <v>69.88</v>
      </c>
      <c r="AN154" s="1474"/>
      <c r="AO154" s="707" t="s">
        <v>32</v>
      </c>
      <c r="AP154" s="1538"/>
      <c r="AQ154" s="1394"/>
      <c r="AR154" s="1394"/>
      <c r="AS154" s="1539"/>
      <c r="AT154" s="1148"/>
      <c r="AU154" s="1097"/>
    </row>
    <row r="155" spans="1:47" ht="15.6" customHeight="1" x14ac:dyDescent="0.25">
      <c r="A155" s="1146"/>
      <c r="B155" s="1531"/>
      <c r="C155" s="704" t="s">
        <v>447</v>
      </c>
      <c r="D155" s="688"/>
      <c r="E155" s="688"/>
      <c r="F155" s="688"/>
      <c r="G155" s="453">
        <v>36</v>
      </c>
      <c r="H155" s="1086">
        <v>2</v>
      </c>
      <c r="I155" s="1469">
        <v>100</v>
      </c>
      <c r="J155" s="1469"/>
      <c r="K155" s="617">
        <v>0</v>
      </c>
      <c r="L155" s="617">
        <v>0</v>
      </c>
      <c r="M155" s="617">
        <v>20</v>
      </c>
      <c r="N155" s="617">
        <v>20</v>
      </c>
      <c r="O155" s="1469" t="s">
        <v>417</v>
      </c>
      <c r="P155" s="1469"/>
      <c r="Q155" s="1470">
        <v>75.2</v>
      </c>
      <c r="R155" s="1471"/>
      <c r="S155" s="707">
        <v>0</v>
      </c>
      <c r="T155" s="1538"/>
      <c r="U155" s="1394"/>
      <c r="V155" s="1394"/>
      <c r="W155" s="1539"/>
      <c r="X155" s="1531"/>
      <c r="Y155" s="704" t="s">
        <v>447</v>
      </c>
      <c r="Z155" s="688"/>
      <c r="AA155" s="688"/>
      <c r="AB155" s="688"/>
      <c r="AC155" s="453">
        <v>36</v>
      </c>
      <c r="AD155" s="1086">
        <v>2</v>
      </c>
      <c r="AE155" s="1469">
        <v>100</v>
      </c>
      <c r="AF155" s="1469"/>
      <c r="AG155" s="617">
        <v>0</v>
      </c>
      <c r="AH155" s="617">
        <v>0</v>
      </c>
      <c r="AI155" s="617">
        <v>20</v>
      </c>
      <c r="AJ155" s="617">
        <v>20</v>
      </c>
      <c r="AK155" s="1469" t="s">
        <v>417</v>
      </c>
      <c r="AL155" s="1469"/>
      <c r="AM155" s="1470">
        <v>70.2</v>
      </c>
      <c r="AN155" s="1471"/>
      <c r="AO155" s="707">
        <v>0</v>
      </c>
      <c r="AP155" s="1538"/>
      <c r="AQ155" s="1394"/>
      <c r="AR155" s="1394"/>
      <c r="AS155" s="1539"/>
      <c r="AT155" s="1146"/>
      <c r="AU155" s="1097"/>
    </row>
    <row r="156" spans="1:47" ht="15.6" customHeight="1" x14ac:dyDescent="0.25">
      <c r="A156" s="1144"/>
      <c r="B156" s="1532"/>
      <c r="C156" s="1475" t="s">
        <v>1006</v>
      </c>
      <c r="D156" s="1476"/>
      <c r="E156" s="1476"/>
      <c r="F156" s="1476"/>
      <c r="G156" s="442" t="s">
        <v>856</v>
      </c>
      <c r="H156" s="442"/>
      <c r="I156" s="705"/>
      <c r="J156" s="705"/>
      <c r="K156" s="705"/>
      <c r="L156" s="705"/>
      <c r="M156" s="705"/>
      <c r="N156" s="705"/>
      <c r="O156" s="705"/>
      <c r="P156" s="705"/>
      <c r="Q156" s="705"/>
      <c r="R156" s="702"/>
      <c r="S156" s="1081"/>
      <c r="T156" s="174"/>
      <c r="U156" s="174"/>
      <c r="V156" s="105"/>
      <c r="W156" s="891"/>
      <c r="X156" s="1532"/>
      <c r="Y156" s="1475" t="s">
        <v>1006</v>
      </c>
      <c r="Z156" s="1476"/>
      <c r="AA156" s="1476"/>
      <c r="AB156" s="1476"/>
      <c r="AC156" s="442" t="s">
        <v>856</v>
      </c>
      <c r="AD156" s="442"/>
      <c r="AE156" s="705"/>
      <c r="AF156" s="705"/>
      <c r="AG156" s="705"/>
      <c r="AH156" s="705"/>
      <c r="AI156" s="705"/>
      <c r="AJ156" s="705"/>
      <c r="AK156" s="705"/>
      <c r="AL156" s="705"/>
      <c r="AM156" s="705"/>
      <c r="AN156" s="702"/>
      <c r="AO156" s="1081"/>
      <c r="AP156" s="174"/>
      <c r="AQ156" s="174"/>
      <c r="AR156" s="105"/>
      <c r="AS156" s="891"/>
      <c r="AT156" s="1144"/>
      <c r="AU156" s="1097"/>
    </row>
    <row r="157" spans="1:47" ht="15.6" customHeight="1" x14ac:dyDescent="0.25">
      <c r="A157" s="1327"/>
      <c r="B157" s="1328"/>
      <c r="C157" s="1329"/>
      <c r="D157" s="1329"/>
      <c r="E157" s="1329"/>
      <c r="F157" s="1329"/>
      <c r="G157" s="1330"/>
      <c r="H157" s="1330"/>
      <c r="I157" s="1331"/>
      <c r="J157" s="1331"/>
      <c r="K157" s="1331"/>
      <c r="L157" s="1331"/>
      <c r="M157" s="1331"/>
      <c r="N157" s="1331"/>
      <c r="O157" s="1331"/>
      <c r="P157" s="1331"/>
      <c r="Q157" s="1331"/>
      <c r="R157" s="1332"/>
      <c r="S157" s="1332"/>
      <c r="T157" s="1328"/>
      <c r="U157" s="1328"/>
      <c r="V157" s="1333"/>
      <c r="W157" s="1333"/>
      <c r="X157" s="1328"/>
      <c r="Y157" s="1329"/>
      <c r="Z157" s="1329"/>
      <c r="AA157" s="1329"/>
      <c r="AB157" s="1329"/>
      <c r="AC157" s="1330"/>
      <c r="AD157" s="1330"/>
      <c r="AE157" s="1331"/>
      <c r="AF157" s="1331"/>
      <c r="AG157" s="1331"/>
      <c r="AH157" s="1331"/>
      <c r="AI157" s="1331"/>
      <c r="AJ157" s="1331"/>
      <c r="AK157" s="1331"/>
      <c r="AL157" s="1331"/>
      <c r="AM157" s="1331"/>
      <c r="AN157" s="1332"/>
      <c r="AO157" s="1332"/>
      <c r="AP157" s="1328"/>
      <c r="AQ157" s="1328"/>
      <c r="AR157" s="1333"/>
      <c r="AS157" s="1333"/>
      <c r="AT157" s="1327"/>
      <c r="AU157" s="1097"/>
    </row>
    <row r="158" spans="1:47" ht="19.899999999999999" hidden="1" customHeight="1" x14ac:dyDescent="0.25">
      <c r="A158" s="1377"/>
      <c r="B158" s="1381"/>
      <c r="C158" s="1307" t="s">
        <v>1300</v>
      </c>
      <c r="D158" s="1379"/>
      <c r="E158" s="1379"/>
      <c r="F158" s="1379"/>
      <c r="G158" s="1379"/>
      <c r="H158" s="1379"/>
      <c r="I158" s="1379"/>
      <c r="J158" s="1379"/>
      <c r="K158" s="1379"/>
      <c r="L158" s="1379"/>
      <c r="M158" s="1379"/>
      <c r="N158" s="1379"/>
      <c r="O158" s="1379"/>
      <c r="P158" s="1379"/>
      <c r="Q158" s="1379"/>
      <c r="R158" s="1379"/>
      <c r="S158" s="1379"/>
      <c r="T158" s="1379"/>
      <c r="U158" s="1379"/>
      <c r="V158" s="1380"/>
      <c r="W158" s="1377"/>
      <c r="X158" s="1378"/>
      <c r="Y158" s="1307" t="s">
        <v>1310</v>
      </c>
      <c r="Z158" s="1379"/>
      <c r="AA158" s="1379"/>
      <c r="AB158" s="1379"/>
      <c r="AC158" s="1379"/>
      <c r="AD158" s="1379"/>
      <c r="AE158" s="1379"/>
      <c r="AF158" s="1379"/>
      <c r="AG158" s="1379"/>
      <c r="AH158" s="1379"/>
      <c r="AI158" s="1379"/>
      <c r="AJ158" s="1379"/>
      <c r="AK158" s="1379"/>
      <c r="AL158" s="1379"/>
      <c r="AM158" s="1379"/>
      <c r="AN158" s="1379"/>
      <c r="AO158" s="1379"/>
      <c r="AP158" s="1379"/>
      <c r="AQ158" s="1379"/>
      <c r="AR158" s="1380"/>
      <c r="AS158" s="1377"/>
      <c r="AT158" s="1144"/>
      <c r="AU158" s="1097"/>
    </row>
    <row r="159" spans="1:47" ht="15.6" hidden="1" customHeight="1" x14ac:dyDescent="0.25">
      <c r="A159" s="636"/>
      <c r="B159" s="1530"/>
      <c r="C159" s="306" t="s">
        <v>798</v>
      </c>
      <c r="D159" s="696"/>
      <c r="E159" s="696"/>
      <c r="F159" s="307"/>
      <c r="G159" s="308"/>
      <c r="H159" s="309"/>
      <c r="I159" s="880"/>
      <c r="J159" s="881" t="s">
        <v>799</v>
      </c>
      <c r="K159" s="882"/>
      <c r="L159" s="882"/>
      <c r="M159" s="883"/>
      <c r="N159" s="884"/>
      <c r="O159" s="885"/>
      <c r="P159" s="880"/>
      <c r="Q159" s="302" t="s">
        <v>800</v>
      </c>
      <c r="R159" s="695"/>
      <c r="S159" s="695"/>
      <c r="T159" s="303"/>
      <c r="U159" s="304"/>
      <c r="V159" s="305"/>
      <c r="W159" s="886"/>
      <c r="X159" s="1512"/>
      <c r="Y159" s="696" t="s">
        <v>798</v>
      </c>
      <c r="Z159" s="696"/>
      <c r="AA159" s="696"/>
      <c r="AB159" s="307"/>
      <c r="AC159" s="308"/>
      <c r="AD159" s="309"/>
      <c r="AE159" s="880"/>
      <c r="AF159" s="881" t="s">
        <v>799</v>
      </c>
      <c r="AG159" s="882"/>
      <c r="AH159" s="882"/>
      <c r="AI159" s="883"/>
      <c r="AJ159" s="884"/>
      <c r="AK159" s="885"/>
      <c r="AL159" s="880"/>
      <c r="AM159" s="302" t="s">
        <v>800</v>
      </c>
      <c r="AN159" s="695"/>
      <c r="AO159" s="695"/>
      <c r="AP159" s="303"/>
      <c r="AQ159" s="304"/>
      <c r="AR159" s="305"/>
      <c r="AS159" s="886"/>
      <c r="AT159" s="1305"/>
    </row>
    <row r="160" spans="1:47" ht="15.6" hidden="1" customHeight="1" x14ac:dyDescent="0.25">
      <c r="A160" s="636"/>
      <c r="B160" s="1531"/>
      <c r="C160" s="1533" t="s">
        <v>808</v>
      </c>
      <c r="D160" s="1515"/>
      <c r="E160" s="1516"/>
      <c r="F160" s="315" t="s">
        <v>809</v>
      </c>
      <c r="G160" s="315" t="s">
        <v>810</v>
      </c>
      <c r="H160" s="315" t="s">
        <v>811</v>
      </c>
      <c r="I160" s="276"/>
      <c r="J160" s="1517" t="s">
        <v>808</v>
      </c>
      <c r="K160" s="1518"/>
      <c r="L160" s="1519"/>
      <c r="M160" s="1186" t="s">
        <v>809</v>
      </c>
      <c r="N160" s="1186" t="s">
        <v>810</v>
      </c>
      <c r="O160" s="1186" t="s">
        <v>811</v>
      </c>
      <c r="P160" s="260"/>
      <c r="Q160" s="1517" t="s">
        <v>808</v>
      </c>
      <c r="R160" s="1518"/>
      <c r="S160" s="1519"/>
      <c r="T160" s="1186" t="s">
        <v>809</v>
      </c>
      <c r="U160" s="1186" t="s">
        <v>810</v>
      </c>
      <c r="V160" s="1186" t="s">
        <v>811</v>
      </c>
      <c r="W160" s="348"/>
      <c r="X160" s="1513"/>
      <c r="Y160" s="1515" t="s">
        <v>808</v>
      </c>
      <c r="Z160" s="1515"/>
      <c r="AA160" s="1516"/>
      <c r="AB160" s="315" t="s">
        <v>809</v>
      </c>
      <c r="AC160" s="315" t="s">
        <v>810</v>
      </c>
      <c r="AD160" s="315" t="s">
        <v>811</v>
      </c>
      <c r="AE160" s="276"/>
      <c r="AF160" s="1517" t="s">
        <v>808</v>
      </c>
      <c r="AG160" s="1518"/>
      <c r="AH160" s="1519"/>
      <c r="AI160" s="1186" t="s">
        <v>809</v>
      </c>
      <c r="AJ160" s="1186" t="s">
        <v>810</v>
      </c>
      <c r="AK160" s="1186" t="s">
        <v>811</v>
      </c>
      <c r="AL160" s="260"/>
      <c r="AM160" s="1517" t="s">
        <v>808</v>
      </c>
      <c r="AN160" s="1518"/>
      <c r="AO160" s="1519"/>
      <c r="AP160" s="1186" t="s">
        <v>809</v>
      </c>
      <c r="AQ160" s="1186" t="s">
        <v>810</v>
      </c>
      <c r="AR160" s="1186" t="s">
        <v>811</v>
      </c>
      <c r="AS160" s="348"/>
      <c r="AT160" s="1305"/>
    </row>
    <row r="161" spans="1:58" ht="15.6" hidden="1" customHeight="1" x14ac:dyDescent="0.25">
      <c r="A161" s="636"/>
      <c r="B161" s="1531"/>
      <c r="C161" s="1504" t="s">
        <v>866</v>
      </c>
      <c r="D161" s="1505"/>
      <c r="E161" s="1506"/>
      <c r="F161" s="817">
        <v>20</v>
      </c>
      <c r="G161" s="862">
        <v>54</v>
      </c>
      <c r="H161" s="1184" t="s">
        <v>760</v>
      </c>
      <c r="I161" s="276"/>
      <c r="J161" s="1504" t="s">
        <v>867</v>
      </c>
      <c r="K161" s="1505"/>
      <c r="L161" s="1506"/>
      <c r="M161" s="817">
        <v>20</v>
      </c>
      <c r="N161" s="862">
        <v>40</v>
      </c>
      <c r="O161" s="554" t="s">
        <v>755</v>
      </c>
      <c r="P161" s="276"/>
      <c r="Q161" s="1504" t="s">
        <v>868</v>
      </c>
      <c r="R161" s="1505"/>
      <c r="S161" s="1506"/>
      <c r="T161" s="817">
        <v>20</v>
      </c>
      <c r="U161" s="862">
        <v>68</v>
      </c>
      <c r="V161" s="1184" t="s">
        <v>766</v>
      </c>
      <c r="W161" s="348"/>
      <c r="X161" s="1513"/>
      <c r="Y161" s="1505" t="s">
        <v>866</v>
      </c>
      <c r="Z161" s="1505"/>
      <c r="AA161" s="1506"/>
      <c r="AB161" s="817">
        <v>20</v>
      </c>
      <c r="AC161" s="862">
        <v>54</v>
      </c>
      <c r="AD161" s="1184" t="s">
        <v>760</v>
      </c>
      <c r="AE161" s="276"/>
      <c r="AF161" s="1504" t="s">
        <v>867</v>
      </c>
      <c r="AG161" s="1505"/>
      <c r="AH161" s="1506"/>
      <c r="AI161" s="817">
        <v>20</v>
      </c>
      <c r="AJ161" s="862">
        <v>50</v>
      </c>
      <c r="AK161" s="554" t="s">
        <v>759</v>
      </c>
      <c r="AL161" s="276"/>
      <c r="AM161" s="1504" t="s">
        <v>868</v>
      </c>
      <c r="AN161" s="1505"/>
      <c r="AO161" s="1506"/>
      <c r="AP161" s="817">
        <v>20</v>
      </c>
      <c r="AQ161" s="862">
        <v>65</v>
      </c>
      <c r="AR161" s="1184" t="s">
        <v>765</v>
      </c>
      <c r="AS161" s="348"/>
      <c r="AT161" s="1305"/>
    </row>
    <row r="162" spans="1:58" ht="15.6" hidden="1" customHeight="1" x14ac:dyDescent="0.25">
      <c r="A162" s="636"/>
      <c r="B162" s="1531"/>
      <c r="C162" s="1534" t="s">
        <v>869</v>
      </c>
      <c r="D162" s="1520"/>
      <c r="E162" s="1521"/>
      <c r="F162" s="817">
        <v>20</v>
      </c>
      <c r="G162" s="862">
        <v>56</v>
      </c>
      <c r="H162" s="1184" t="s">
        <v>761</v>
      </c>
      <c r="I162" s="276"/>
      <c r="J162" s="1504" t="s">
        <v>870</v>
      </c>
      <c r="K162" s="1505"/>
      <c r="L162" s="1506"/>
      <c r="M162" s="817">
        <v>20</v>
      </c>
      <c r="N162" s="862">
        <v>42</v>
      </c>
      <c r="O162" s="554" t="s">
        <v>755</v>
      </c>
      <c r="P162" s="276"/>
      <c r="Q162" s="1504" t="s">
        <v>871</v>
      </c>
      <c r="R162" s="1505"/>
      <c r="S162" s="1506"/>
      <c r="T162" s="817">
        <v>20</v>
      </c>
      <c r="U162" s="862">
        <v>72</v>
      </c>
      <c r="V162" s="1184" t="s">
        <v>767</v>
      </c>
      <c r="W162" s="348"/>
      <c r="X162" s="1513"/>
      <c r="Y162" s="1520" t="s">
        <v>869</v>
      </c>
      <c r="Z162" s="1520"/>
      <c r="AA162" s="1521"/>
      <c r="AB162" s="817">
        <v>20</v>
      </c>
      <c r="AC162" s="862">
        <v>56</v>
      </c>
      <c r="AD162" s="1184" t="s">
        <v>761</v>
      </c>
      <c r="AE162" s="276"/>
      <c r="AF162" s="1504" t="s">
        <v>870</v>
      </c>
      <c r="AG162" s="1505"/>
      <c r="AH162" s="1506"/>
      <c r="AI162" s="817">
        <v>20</v>
      </c>
      <c r="AJ162" s="862">
        <v>60</v>
      </c>
      <c r="AK162" s="554" t="s">
        <v>763</v>
      </c>
      <c r="AL162" s="276"/>
      <c r="AM162" s="1504" t="s">
        <v>871</v>
      </c>
      <c r="AN162" s="1505"/>
      <c r="AO162" s="1506"/>
      <c r="AP162" s="817">
        <v>20</v>
      </c>
      <c r="AQ162" s="862">
        <v>66</v>
      </c>
      <c r="AR162" s="1184" t="s">
        <v>765</v>
      </c>
      <c r="AS162" s="348"/>
      <c r="AT162" s="1305"/>
    </row>
    <row r="163" spans="1:58" ht="15.6" hidden="1" customHeight="1" x14ac:dyDescent="0.25">
      <c r="A163" s="636"/>
      <c r="B163" s="1531"/>
      <c r="C163" s="1504" t="s">
        <v>872</v>
      </c>
      <c r="D163" s="1505"/>
      <c r="E163" s="1506"/>
      <c r="F163" s="817">
        <v>20</v>
      </c>
      <c r="G163" s="862">
        <v>62</v>
      </c>
      <c r="H163" s="1184" t="s">
        <v>763</v>
      </c>
      <c r="I163" s="276"/>
      <c r="J163" s="1504" t="s">
        <v>873</v>
      </c>
      <c r="K163" s="1505"/>
      <c r="L163" s="1506"/>
      <c r="M163" s="817">
        <v>20</v>
      </c>
      <c r="N163" s="862">
        <v>54</v>
      </c>
      <c r="O163" s="554" t="s">
        <v>760</v>
      </c>
      <c r="P163" s="276"/>
      <c r="Q163" s="1504" t="s">
        <v>874</v>
      </c>
      <c r="R163" s="1505"/>
      <c r="S163" s="1506"/>
      <c r="T163" s="817">
        <v>20</v>
      </c>
      <c r="U163" s="862">
        <v>74</v>
      </c>
      <c r="V163" s="1184" t="s">
        <v>768</v>
      </c>
      <c r="W163" s="348"/>
      <c r="X163" s="1513"/>
      <c r="Y163" s="1505" t="s">
        <v>872</v>
      </c>
      <c r="Z163" s="1505"/>
      <c r="AA163" s="1506"/>
      <c r="AB163" s="817">
        <v>20</v>
      </c>
      <c r="AC163" s="862">
        <v>62</v>
      </c>
      <c r="AD163" s="1184" t="s">
        <v>763</v>
      </c>
      <c r="AE163" s="276"/>
      <c r="AF163" s="1504" t="s">
        <v>873</v>
      </c>
      <c r="AG163" s="1505"/>
      <c r="AH163" s="1506"/>
      <c r="AI163" s="817">
        <v>20</v>
      </c>
      <c r="AJ163" s="862">
        <v>61</v>
      </c>
      <c r="AK163" s="554" t="s">
        <v>763</v>
      </c>
      <c r="AL163" s="276"/>
      <c r="AM163" s="1504" t="s">
        <v>874</v>
      </c>
      <c r="AN163" s="1505"/>
      <c r="AO163" s="1506"/>
      <c r="AP163" s="817">
        <v>20</v>
      </c>
      <c r="AQ163" s="862">
        <v>66</v>
      </c>
      <c r="AR163" s="1184" t="s">
        <v>765</v>
      </c>
      <c r="AS163" s="348"/>
      <c r="AT163" s="1305"/>
    </row>
    <row r="164" spans="1:58" ht="15.6" hidden="1" customHeight="1" x14ac:dyDescent="0.25">
      <c r="A164" s="636"/>
      <c r="B164" s="1531"/>
      <c r="C164" s="1504" t="s">
        <v>875</v>
      </c>
      <c r="D164" s="1505"/>
      <c r="E164" s="1506"/>
      <c r="F164" s="817">
        <v>20</v>
      </c>
      <c r="G164" s="862">
        <v>65</v>
      </c>
      <c r="H164" s="1184" t="s">
        <v>765</v>
      </c>
      <c r="I164" s="276"/>
      <c r="J164" s="1504" t="s">
        <v>876</v>
      </c>
      <c r="K164" s="1505"/>
      <c r="L164" s="1506"/>
      <c r="M164" s="817">
        <v>20</v>
      </c>
      <c r="N164" s="862">
        <v>60</v>
      </c>
      <c r="O164" s="554" t="s">
        <v>763</v>
      </c>
      <c r="P164" s="276"/>
      <c r="Q164" s="1504" t="s">
        <v>877</v>
      </c>
      <c r="R164" s="1505"/>
      <c r="S164" s="1506"/>
      <c r="T164" s="817">
        <v>20</v>
      </c>
      <c r="U164" s="862">
        <v>75</v>
      </c>
      <c r="V164" s="1184" t="s">
        <v>769</v>
      </c>
      <c r="W164" s="348"/>
      <c r="X164" s="1513"/>
      <c r="Y164" s="1505" t="s">
        <v>875</v>
      </c>
      <c r="Z164" s="1505"/>
      <c r="AA164" s="1506"/>
      <c r="AB164" s="817">
        <v>20</v>
      </c>
      <c r="AC164" s="862">
        <v>65</v>
      </c>
      <c r="AD164" s="1184" t="s">
        <v>765</v>
      </c>
      <c r="AE164" s="276"/>
      <c r="AF164" s="1504" t="s">
        <v>876</v>
      </c>
      <c r="AG164" s="1505"/>
      <c r="AH164" s="1506"/>
      <c r="AI164" s="817">
        <v>20</v>
      </c>
      <c r="AJ164" s="862">
        <v>64</v>
      </c>
      <c r="AK164" s="554" t="s">
        <v>764</v>
      </c>
      <c r="AL164" s="276"/>
      <c r="AM164" s="1504" t="s">
        <v>877</v>
      </c>
      <c r="AN164" s="1505"/>
      <c r="AO164" s="1506"/>
      <c r="AP164" s="817">
        <v>20</v>
      </c>
      <c r="AQ164" s="862">
        <v>68</v>
      </c>
      <c r="AR164" s="1184" t="s">
        <v>766</v>
      </c>
      <c r="AS164" s="348"/>
      <c r="AT164" s="1305"/>
    </row>
    <row r="165" spans="1:58" ht="15.6" hidden="1" customHeight="1" x14ac:dyDescent="0.25">
      <c r="A165" s="636"/>
      <c r="B165" s="1531"/>
      <c r="C165" s="1504" t="s">
        <v>878</v>
      </c>
      <c r="D165" s="1505"/>
      <c r="E165" s="1506"/>
      <c r="F165" s="817">
        <v>20</v>
      </c>
      <c r="G165" s="862">
        <v>70</v>
      </c>
      <c r="H165" s="1184" t="s">
        <v>767</v>
      </c>
      <c r="I165" s="276"/>
      <c r="J165" s="1504" t="s">
        <v>879</v>
      </c>
      <c r="K165" s="1505"/>
      <c r="L165" s="1506"/>
      <c r="M165" s="817">
        <v>20</v>
      </c>
      <c r="N165" s="862">
        <v>66</v>
      </c>
      <c r="O165" s="554" t="s">
        <v>765</v>
      </c>
      <c r="P165" s="276"/>
      <c r="Q165" s="1504" t="s">
        <v>880</v>
      </c>
      <c r="R165" s="1505"/>
      <c r="S165" s="1506"/>
      <c r="T165" s="817">
        <v>20</v>
      </c>
      <c r="U165" s="862">
        <v>75</v>
      </c>
      <c r="V165" s="1184" t="s">
        <v>769</v>
      </c>
      <c r="W165" s="348"/>
      <c r="X165" s="1513"/>
      <c r="Y165" s="1505" t="s">
        <v>878</v>
      </c>
      <c r="Z165" s="1505"/>
      <c r="AA165" s="1506"/>
      <c r="AB165" s="817">
        <v>20</v>
      </c>
      <c r="AC165" s="862">
        <v>70</v>
      </c>
      <c r="AD165" s="1184" t="s">
        <v>767</v>
      </c>
      <c r="AE165" s="276"/>
      <c r="AF165" s="1504" t="s">
        <v>879</v>
      </c>
      <c r="AG165" s="1505"/>
      <c r="AH165" s="1506"/>
      <c r="AI165" s="817">
        <v>20</v>
      </c>
      <c r="AJ165" s="862">
        <v>65</v>
      </c>
      <c r="AK165" s="554" t="s">
        <v>765</v>
      </c>
      <c r="AL165" s="276"/>
      <c r="AM165" s="1504" t="s">
        <v>880</v>
      </c>
      <c r="AN165" s="1505"/>
      <c r="AO165" s="1506"/>
      <c r="AP165" s="817">
        <v>20</v>
      </c>
      <c r="AQ165" s="862">
        <v>68</v>
      </c>
      <c r="AR165" s="1184" t="s">
        <v>766</v>
      </c>
      <c r="AS165" s="348"/>
      <c r="AT165" s="1305"/>
    </row>
    <row r="166" spans="1:58" ht="15.6" hidden="1" customHeight="1" x14ac:dyDescent="0.25">
      <c r="A166" s="636"/>
      <c r="B166" s="1531"/>
      <c r="C166" s="1504" t="s">
        <v>881</v>
      </c>
      <c r="D166" s="1505"/>
      <c r="E166" s="1506"/>
      <c r="F166" s="817">
        <v>20</v>
      </c>
      <c r="G166" s="862">
        <v>80</v>
      </c>
      <c r="H166" s="1184" t="s">
        <v>771</v>
      </c>
      <c r="I166" s="276"/>
      <c r="J166" s="1504" t="s">
        <v>882</v>
      </c>
      <c r="K166" s="1505"/>
      <c r="L166" s="1506"/>
      <c r="M166" s="817">
        <v>20</v>
      </c>
      <c r="N166" s="862">
        <v>68</v>
      </c>
      <c r="O166" s="554" t="s">
        <v>766</v>
      </c>
      <c r="P166" s="276"/>
      <c r="Q166" s="1504" t="s">
        <v>883</v>
      </c>
      <c r="R166" s="1505"/>
      <c r="S166" s="1506"/>
      <c r="T166" s="817">
        <v>20</v>
      </c>
      <c r="U166" s="818">
        <v>80</v>
      </c>
      <c r="V166" s="1184" t="s">
        <v>771</v>
      </c>
      <c r="W166" s="348"/>
      <c r="X166" s="1513"/>
      <c r="Y166" s="1505" t="s">
        <v>881</v>
      </c>
      <c r="Z166" s="1505"/>
      <c r="AA166" s="1506"/>
      <c r="AB166" s="817">
        <v>20</v>
      </c>
      <c r="AC166" s="862">
        <v>80</v>
      </c>
      <c r="AD166" s="1184" t="s">
        <v>771</v>
      </c>
      <c r="AE166" s="276"/>
      <c r="AF166" s="1504" t="s">
        <v>882</v>
      </c>
      <c r="AG166" s="1505"/>
      <c r="AH166" s="1506"/>
      <c r="AI166" s="817">
        <v>20</v>
      </c>
      <c r="AJ166" s="862">
        <v>67</v>
      </c>
      <c r="AK166" s="554" t="s">
        <v>765</v>
      </c>
      <c r="AL166" s="276"/>
      <c r="AM166" s="1504" t="s">
        <v>883</v>
      </c>
      <c r="AN166" s="1505"/>
      <c r="AO166" s="1506"/>
      <c r="AP166" s="817">
        <v>20</v>
      </c>
      <c r="AQ166" s="818">
        <v>74</v>
      </c>
      <c r="AR166" s="1184" t="s">
        <v>768</v>
      </c>
      <c r="AS166" s="348"/>
      <c r="AT166" s="1305"/>
    </row>
    <row r="167" spans="1:58" ht="15.6" hidden="1" customHeight="1" x14ac:dyDescent="0.25">
      <c r="A167" s="636"/>
      <c r="B167" s="1531"/>
      <c r="C167" s="1504" t="s">
        <v>636</v>
      </c>
      <c r="D167" s="1505"/>
      <c r="E167" s="1506"/>
      <c r="F167" s="817"/>
      <c r="G167" s="862"/>
      <c r="H167" s="1184" t="s">
        <v>29</v>
      </c>
      <c r="I167" s="276"/>
      <c r="J167" s="1504" t="s">
        <v>636</v>
      </c>
      <c r="K167" s="1505"/>
      <c r="L167" s="1506"/>
      <c r="M167" s="817"/>
      <c r="N167" s="862"/>
      <c r="O167" s="554" t="s">
        <v>29</v>
      </c>
      <c r="P167" s="276"/>
      <c r="Q167" s="1504" t="s">
        <v>636</v>
      </c>
      <c r="R167" s="1505"/>
      <c r="S167" s="1506"/>
      <c r="T167" s="817"/>
      <c r="U167" s="818"/>
      <c r="V167" s="1184" t="s">
        <v>29</v>
      </c>
      <c r="W167" s="167"/>
      <c r="X167" s="1513"/>
      <c r="Y167" s="1505" t="s">
        <v>636</v>
      </c>
      <c r="Z167" s="1505"/>
      <c r="AA167" s="1506"/>
      <c r="AB167" s="817"/>
      <c r="AC167" s="862"/>
      <c r="AD167" s="1184" t="s">
        <v>29</v>
      </c>
      <c r="AE167" s="276"/>
      <c r="AF167" s="1504" t="s">
        <v>636</v>
      </c>
      <c r="AG167" s="1505"/>
      <c r="AH167" s="1506"/>
      <c r="AI167" s="817"/>
      <c r="AJ167" s="862"/>
      <c r="AK167" s="554" t="s">
        <v>29</v>
      </c>
      <c r="AL167" s="276"/>
      <c r="AM167" s="1504" t="s">
        <v>636</v>
      </c>
      <c r="AN167" s="1505"/>
      <c r="AO167" s="1506"/>
      <c r="AP167" s="817"/>
      <c r="AQ167" s="818"/>
      <c r="AR167" s="1184" t="s">
        <v>29</v>
      </c>
      <c r="AS167" s="167"/>
      <c r="AT167" s="1305"/>
    </row>
    <row r="168" spans="1:58" ht="15.6" hidden="1" customHeight="1" x14ac:dyDescent="0.25">
      <c r="A168" s="636"/>
      <c r="B168" s="1531"/>
      <c r="C168" s="1504" t="s">
        <v>636</v>
      </c>
      <c r="D168" s="1505"/>
      <c r="E168" s="1506"/>
      <c r="F168" s="817"/>
      <c r="G168" s="862"/>
      <c r="H168" s="1184" t="s">
        <v>29</v>
      </c>
      <c r="I168" s="276"/>
      <c r="J168" s="1504" t="s">
        <v>636</v>
      </c>
      <c r="K168" s="1505"/>
      <c r="L168" s="1506"/>
      <c r="M168" s="817"/>
      <c r="N168" s="862"/>
      <c r="O168" s="554" t="s">
        <v>29</v>
      </c>
      <c r="P168" s="276"/>
      <c r="Q168" s="1504" t="s">
        <v>636</v>
      </c>
      <c r="R168" s="1505"/>
      <c r="S168" s="1506"/>
      <c r="T168" s="817"/>
      <c r="U168" s="818"/>
      <c r="V168" s="1184" t="s">
        <v>29</v>
      </c>
      <c r="W168" s="348"/>
      <c r="X168" s="1513"/>
      <c r="Y168" s="1505" t="s">
        <v>636</v>
      </c>
      <c r="Z168" s="1505"/>
      <c r="AA168" s="1506"/>
      <c r="AB168" s="817"/>
      <c r="AC168" s="862"/>
      <c r="AD168" s="1184" t="s">
        <v>29</v>
      </c>
      <c r="AE168" s="276"/>
      <c r="AF168" s="1504" t="s">
        <v>636</v>
      </c>
      <c r="AG168" s="1505"/>
      <c r="AH168" s="1506"/>
      <c r="AI168" s="817"/>
      <c r="AJ168" s="862"/>
      <c r="AK168" s="554" t="s">
        <v>29</v>
      </c>
      <c r="AL168" s="276"/>
      <c r="AM168" s="1504" t="s">
        <v>636</v>
      </c>
      <c r="AN168" s="1505"/>
      <c r="AO168" s="1506"/>
      <c r="AP168" s="817"/>
      <c r="AQ168" s="818"/>
      <c r="AR168" s="1184" t="s">
        <v>29</v>
      </c>
      <c r="AS168" s="348"/>
      <c r="AT168" s="1305"/>
    </row>
    <row r="169" spans="1:58" ht="15.6" hidden="1" customHeight="1" x14ac:dyDescent="0.25">
      <c r="A169" s="636"/>
      <c r="B169" s="1531"/>
      <c r="C169" s="1504" t="s">
        <v>636</v>
      </c>
      <c r="D169" s="1505"/>
      <c r="E169" s="1506"/>
      <c r="F169" s="817"/>
      <c r="G169" s="862"/>
      <c r="H169" s="1184" t="s">
        <v>29</v>
      </c>
      <c r="I169" s="276"/>
      <c r="J169" s="1504" t="s">
        <v>636</v>
      </c>
      <c r="K169" s="1505"/>
      <c r="L169" s="1506"/>
      <c r="M169" s="817"/>
      <c r="N169" s="862"/>
      <c r="O169" s="554" t="s">
        <v>29</v>
      </c>
      <c r="P169" s="276"/>
      <c r="Q169" s="1504" t="s">
        <v>636</v>
      </c>
      <c r="R169" s="1505"/>
      <c r="S169" s="1506"/>
      <c r="T169" s="817"/>
      <c r="U169" s="818"/>
      <c r="V169" s="1184" t="s">
        <v>29</v>
      </c>
      <c r="W169" s="348"/>
      <c r="X169" s="1513"/>
      <c r="Y169" s="1505" t="s">
        <v>636</v>
      </c>
      <c r="Z169" s="1505"/>
      <c r="AA169" s="1506"/>
      <c r="AB169" s="817"/>
      <c r="AC169" s="862"/>
      <c r="AD169" s="1184" t="s">
        <v>29</v>
      </c>
      <c r="AE169" s="276"/>
      <c r="AF169" s="1504" t="s">
        <v>636</v>
      </c>
      <c r="AG169" s="1505"/>
      <c r="AH169" s="1506"/>
      <c r="AI169" s="817"/>
      <c r="AJ169" s="862"/>
      <c r="AK169" s="554" t="s">
        <v>29</v>
      </c>
      <c r="AL169" s="276"/>
      <c r="AM169" s="1504" t="s">
        <v>636</v>
      </c>
      <c r="AN169" s="1505"/>
      <c r="AO169" s="1506"/>
      <c r="AP169" s="817"/>
      <c r="AQ169" s="818"/>
      <c r="AR169" s="1184" t="s">
        <v>29</v>
      </c>
      <c r="AS169" s="348"/>
      <c r="AT169" s="1305"/>
    </row>
    <row r="170" spans="1:58" ht="15.6" hidden="1" customHeight="1" x14ac:dyDescent="0.25">
      <c r="A170" s="636"/>
      <c r="B170" s="1531"/>
      <c r="C170" s="1504" t="s">
        <v>636</v>
      </c>
      <c r="D170" s="1505"/>
      <c r="E170" s="1506"/>
      <c r="F170" s="817"/>
      <c r="G170" s="862"/>
      <c r="H170" s="1184" t="s">
        <v>29</v>
      </c>
      <c r="I170" s="276"/>
      <c r="J170" s="1504" t="s">
        <v>636</v>
      </c>
      <c r="K170" s="1505"/>
      <c r="L170" s="1506"/>
      <c r="M170" s="817"/>
      <c r="N170" s="862"/>
      <c r="O170" s="554" t="s">
        <v>29</v>
      </c>
      <c r="P170" s="276"/>
      <c r="Q170" s="1504" t="s">
        <v>636</v>
      </c>
      <c r="R170" s="1505"/>
      <c r="S170" s="1506"/>
      <c r="T170" s="817"/>
      <c r="U170" s="818"/>
      <c r="V170" s="1184" t="s">
        <v>29</v>
      </c>
      <c r="W170" s="348"/>
      <c r="X170" s="1513"/>
      <c r="Y170" s="1505" t="s">
        <v>636</v>
      </c>
      <c r="Z170" s="1505"/>
      <c r="AA170" s="1506"/>
      <c r="AB170" s="817"/>
      <c r="AC170" s="862"/>
      <c r="AD170" s="1184" t="s">
        <v>29</v>
      </c>
      <c r="AE170" s="276"/>
      <c r="AF170" s="1504" t="s">
        <v>636</v>
      </c>
      <c r="AG170" s="1505"/>
      <c r="AH170" s="1506"/>
      <c r="AI170" s="817"/>
      <c r="AJ170" s="862"/>
      <c r="AK170" s="554" t="s">
        <v>29</v>
      </c>
      <c r="AL170" s="276"/>
      <c r="AM170" s="1504" t="s">
        <v>636</v>
      </c>
      <c r="AN170" s="1505"/>
      <c r="AO170" s="1506"/>
      <c r="AP170" s="817"/>
      <c r="AQ170" s="818"/>
      <c r="AR170" s="1184" t="s">
        <v>29</v>
      </c>
      <c r="AS170" s="348"/>
      <c r="AT170" s="1305"/>
    </row>
    <row r="171" spans="1:58" ht="15.6" hidden="1" customHeight="1" x14ac:dyDescent="0.25">
      <c r="A171" s="636"/>
      <c r="B171" s="1531"/>
      <c r="C171" s="1504" t="s">
        <v>636</v>
      </c>
      <c r="D171" s="1505"/>
      <c r="E171" s="1506"/>
      <c r="F171" s="817"/>
      <c r="G171" s="862"/>
      <c r="H171" s="1184" t="s">
        <v>29</v>
      </c>
      <c r="I171" s="276"/>
      <c r="J171" s="1504" t="s">
        <v>636</v>
      </c>
      <c r="K171" s="1505"/>
      <c r="L171" s="1506"/>
      <c r="M171" s="817"/>
      <c r="N171" s="862"/>
      <c r="O171" s="554" t="s">
        <v>29</v>
      </c>
      <c r="P171" s="276"/>
      <c r="Q171" s="1504" t="s">
        <v>636</v>
      </c>
      <c r="R171" s="1505"/>
      <c r="S171" s="1506"/>
      <c r="T171" s="817"/>
      <c r="U171" s="818"/>
      <c r="V171" s="1184" t="s">
        <v>29</v>
      </c>
      <c r="W171" s="348"/>
      <c r="X171" s="1513"/>
      <c r="Y171" s="1505" t="s">
        <v>636</v>
      </c>
      <c r="Z171" s="1505"/>
      <c r="AA171" s="1506"/>
      <c r="AB171" s="817"/>
      <c r="AC171" s="862"/>
      <c r="AD171" s="1184" t="s">
        <v>29</v>
      </c>
      <c r="AE171" s="276"/>
      <c r="AF171" s="1504" t="s">
        <v>636</v>
      </c>
      <c r="AG171" s="1505"/>
      <c r="AH171" s="1506"/>
      <c r="AI171" s="817"/>
      <c r="AJ171" s="862"/>
      <c r="AK171" s="554" t="s">
        <v>29</v>
      </c>
      <c r="AL171" s="276"/>
      <c r="AM171" s="1504" t="s">
        <v>636</v>
      </c>
      <c r="AN171" s="1505"/>
      <c r="AO171" s="1506"/>
      <c r="AP171" s="817"/>
      <c r="AQ171" s="818"/>
      <c r="AR171" s="1184" t="s">
        <v>29</v>
      </c>
      <c r="AS171" s="348"/>
      <c r="AT171" s="1305"/>
      <c r="BC171" s="1039"/>
    </row>
    <row r="172" spans="1:58" ht="15.6" hidden="1" customHeight="1" x14ac:dyDescent="0.25">
      <c r="A172" s="636"/>
      <c r="B172" s="1531"/>
      <c r="C172" s="1504" t="s">
        <v>636</v>
      </c>
      <c r="D172" s="1505"/>
      <c r="E172" s="1506"/>
      <c r="F172" s="817"/>
      <c r="G172" s="862"/>
      <c r="H172" s="1184" t="s">
        <v>29</v>
      </c>
      <c r="I172" s="276"/>
      <c r="J172" s="1504" t="s">
        <v>636</v>
      </c>
      <c r="K172" s="1505"/>
      <c r="L172" s="1506"/>
      <c r="M172" s="817"/>
      <c r="N172" s="862"/>
      <c r="O172" s="554" t="s">
        <v>29</v>
      </c>
      <c r="P172" s="276"/>
      <c r="Q172" s="1504" t="s">
        <v>636</v>
      </c>
      <c r="R172" s="1505"/>
      <c r="S172" s="1506"/>
      <c r="T172" s="817"/>
      <c r="U172" s="818"/>
      <c r="V172" s="1184" t="s">
        <v>29</v>
      </c>
      <c r="W172" s="348"/>
      <c r="X172" s="1513"/>
      <c r="Y172" s="1505" t="s">
        <v>636</v>
      </c>
      <c r="Z172" s="1505"/>
      <c r="AA172" s="1506"/>
      <c r="AB172" s="817"/>
      <c r="AC172" s="862"/>
      <c r="AD172" s="1184" t="s">
        <v>29</v>
      </c>
      <c r="AE172" s="276"/>
      <c r="AF172" s="1504" t="s">
        <v>636</v>
      </c>
      <c r="AG172" s="1505"/>
      <c r="AH172" s="1506"/>
      <c r="AI172" s="817"/>
      <c r="AJ172" s="862"/>
      <c r="AK172" s="554" t="s">
        <v>29</v>
      </c>
      <c r="AL172" s="276"/>
      <c r="AM172" s="1504" t="s">
        <v>636</v>
      </c>
      <c r="AN172" s="1505"/>
      <c r="AO172" s="1506"/>
      <c r="AP172" s="817"/>
      <c r="AQ172" s="818"/>
      <c r="AR172" s="1184" t="s">
        <v>29</v>
      </c>
      <c r="AS172" s="348"/>
      <c r="AT172" s="1305"/>
    </row>
    <row r="173" spans="1:58" ht="15.6" hidden="1" customHeight="1" x14ac:dyDescent="0.25">
      <c r="A173" s="636"/>
      <c r="B173" s="1531"/>
      <c r="C173" s="1507" t="s">
        <v>840</v>
      </c>
      <c r="D173" s="1507"/>
      <c r="E173" s="1507"/>
      <c r="F173" s="1189">
        <v>120</v>
      </c>
      <c r="G173" s="887" t="s">
        <v>32</v>
      </c>
      <c r="H173" s="382"/>
      <c r="I173" s="276"/>
      <c r="J173" s="1507" t="s">
        <v>840</v>
      </c>
      <c r="K173" s="1507"/>
      <c r="L173" s="1507"/>
      <c r="M173" s="1189">
        <v>120</v>
      </c>
      <c r="N173" s="887" t="s">
        <v>32</v>
      </c>
      <c r="O173" s="801"/>
      <c r="P173" s="276"/>
      <c r="Q173" s="1507" t="s">
        <v>840</v>
      </c>
      <c r="R173" s="1507"/>
      <c r="S173" s="1507"/>
      <c r="T173" s="1189">
        <v>120</v>
      </c>
      <c r="U173" s="887" t="s">
        <v>32</v>
      </c>
      <c r="V173" s="276"/>
      <c r="W173" s="348"/>
      <c r="X173" s="1513"/>
      <c r="Y173" s="1507" t="s">
        <v>840</v>
      </c>
      <c r="Z173" s="1507"/>
      <c r="AA173" s="1507"/>
      <c r="AB173" s="1189">
        <v>120</v>
      </c>
      <c r="AC173" s="887" t="s">
        <v>32</v>
      </c>
      <c r="AD173" s="382"/>
      <c r="AE173" s="276"/>
      <c r="AF173" s="1507" t="s">
        <v>840</v>
      </c>
      <c r="AG173" s="1507"/>
      <c r="AH173" s="1507"/>
      <c r="AI173" s="1189">
        <v>120</v>
      </c>
      <c r="AJ173" s="887" t="s">
        <v>32</v>
      </c>
      <c r="AK173" s="801"/>
      <c r="AL173" s="276"/>
      <c r="AM173" s="1507" t="s">
        <v>840</v>
      </c>
      <c r="AN173" s="1507"/>
      <c r="AO173" s="1507"/>
      <c r="AP173" s="1189">
        <v>120</v>
      </c>
      <c r="AQ173" s="887" t="s">
        <v>32</v>
      </c>
      <c r="AR173" s="276"/>
      <c r="AS173" s="348"/>
      <c r="AT173" s="1305"/>
      <c r="BC173" s="1039">
        <f>'[1]PPT 2'!O131/'[1]PPT 2'!N131</f>
        <v>0.8716216216216216</v>
      </c>
    </row>
    <row r="174" spans="1:58" ht="15.6" hidden="1" customHeight="1" x14ac:dyDescent="0.25">
      <c r="A174" s="636"/>
      <c r="B174" s="1531"/>
      <c r="C174" s="1510" t="s">
        <v>842</v>
      </c>
      <c r="D174" s="1508"/>
      <c r="E174" s="1508"/>
      <c r="F174" s="1509"/>
      <c r="G174" s="386">
        <v>64.5</v>
      </c>
      <c r="H174" s="51" t="s">
        <v>764</v>
      </c>
      <c r="I174" s="276"/>
      <c r="J174" s="1510" t="s">
        <v>843</v>
      </c>
      <c r="K174" s="1508"/>
      <c r="L174" s="1508"/>
      <c r="M174" s="1509"/>
      <c r="N174" s="386">
        <v>55</v>
      </c>
      <c r="O174" s="51" t="s">
        <v>761</v>
      </c>
      <c r="P174" s="387"/>
      <c r="Q174" s="1510" t="s">
        <v>844</v>
      </c>
      <c r="R174" s="1508"/>
      <c r="S174" s="1508"/>
      <c r="T174" s="1509"/>
      <c r="U174" s="386">
        <v>74</v>
      </c>
      <c r="V174" s="51" t="s">
        <v>768</v>
      </c>
      <c r="W174" s="888"/>
      <c r="X174" s="1513"/>
      <c r="Y174" s="1508" t="s">
        <v>842</v>
      </c>
      <c r="Z174" s="1508"/>
      <c r="AA174" s="1508"/>
      <c r="AB174" s="1509"/>
      <c r="AC174" s="386">
        <v>64.5</v>
      </c>
      <c r="AD174" s="51" t="s">
        <v>764</v>
      </c>
      <c r="AE174" s="276"/>
      <c r="AF174" s="1510" t="s">
        <v>843</v>
      </c>
      <c r="AG174" s="1508"/>
      <c r="AH174" s="1508"/>
      <c r="AI174" s="1509"/>
      <c r="AJ174" s="386">
        <v>61.17</v>
      </c>
      <c r="AK174" s="51" t="s">
        <v>763</v>
      </c>
      <c r="AL174" s="387"/>
      <c r="AM174" s="1510" t="s">
        <v>844</v>
      </c>
      <c r="AN174" s="1508"/>
      <c r="AO174" s="1508"/>
      <c r="AP174" s="1509"/>
      <c r="AQ174" s="386">
        <v>67.83</v>
      </c>
      <c r="AR174" s="51" t="s">
        <v>766</v>
      </c>
      <c r="AS174" s="888"/>
      <c r="AT174" s="1305"/>
    </row>
    <row r="175" spans="1:58" ht="15.6" hidden="1" customHeight="1" x14ac:dyDescent="0.25">
      <c r="A175" s="636"/>
      <c r="B175" s="1531"/>
      <c r="C175" s="398"/>
      <c r="D175" s="398"/>
      <c r="E175" s="398"/>
      <c r="F175" s="276"/>
      <c r="G175" s="276"/>
      <c r="H175" s="276"/>
      <c r="I175" s="1189"/>
      <c r="J175" s="276"/>
      <c r="K175" s="276"/>
      <c r="L175" s="276"/>
      <c r="M175" s="398"/>
      <c r="N175" s="399"/>
      <c r="O175" s="276"/>
      <c r="P175" s="387"/>
      <c r="Q175" s="400"/>
      <c r="R175" s="400"/>
      <c r="S175" s="400"/>
      <c r="T175" s="1189"/>
      <c r="U175" s="260"/>
      <c r="V175" s="260"/>
      <c r="W175" s="888"/>
      <c r="X175" s="1513"/>
      <c r="Y175" s="398"/>
      <c r="Z175" s="398"/>
      <c r="AA175" s="398"/>
      <c r="AB175" s="276"/>
      <c r="AC175" s="276"/>
      <c r="AD175" s="276"/>
      <c r="AE175" s="1189"/>
      <c r="AF175" s="276"/>
      <c r="AG175" s="276"/>
      <c r="AH175" s="276"/>
      <c r="AI175" s="398"/>
      <c r="AJ175" s="399"/>
      <c r="AK175" s="276"/>
      <c r="AL175" s="387"/>
      <c r="AM175" s="400"/>
      <c r="AN175" s="400"/>
      <c r="AO175" s="400"/>
      <c r="AP175" s="1189"/>
      <c r="AQ175" s="260"/>
      <c r="AR175" s="260"/>
      <c r="AS175" s="888"/>
      <c r="AT175" s="1305"/>
    </row>
    <row r="176" spans="1:58" ht="15.6" hidden="1" customHeight="1" x14ac:dyDescent="0.25">
      <c r="A176" s="636"/>
      <c r="B176" s="1531"/>
      <c r="C176" s="1536" t="s">
        <v>1143</v>
      </c>
      <c r="D176" s="1511"/>
      <c r="E176" s="1511"/>
      <c r="F176" s="1140">
        <v>64.5</v>
      </c>
      <c r="G176" s="1139"/>
      <c r="H176" s="1139"/>
      <c r="I176" s="1139"/>
      <c r="J176" s="1139"/>
      <c r="K176" s="1139"/>
      <c r="L176" s="1139"/>
      <c r="M176" s="1139"/>
      <c r="N176" s="1139"/>
      <c r="O176" s="1139"/>
      <c r="P176" s="1139"/>
      <c r="Q176" s="1139"/>
      <c r="R176" s="1139"/>
      <c r="S176" s="1139"/>
      <c r="T176" s="1115" t="s">
        <v>848</v>
      </c>
      <c r="U176" s="406">
        <v>64.5</v>
      </c>
      <c r="V176" s="407" t="s">
        <v>764</v>
      </c>
      <c r="W176" s="888"/>
      <c r="X176" s="1513"/>
      <c r="Y176" s="1511" t="s">
        <v>1143</v>
      </c>
      <c r="Z176" s="1511"/>
      <c r="AA176" s="1511"/>
      <c r="AB176" s="1140">
        <v>64.5</v>
      </c>
      <c r="AC176" s="1139"/>
      <c r="AD176" s="1139"/>
      <c r="AE176" s="1139"/>
      <c r="AF176" s="1139"/>
      <c r="AG176" s="1139"/>
      <c r="AH176" s="1139"/>
      <c r="AI176" s="1139"/>
      <c r="AJ176" s="1139"/>
      <c r="AK176" s="1139"/>
      <c r="AL176" s="1139"/>
      <c r="AM176" s="1139"/>
      <c r="AN176" s="1139"/>
      <c r="AO176" s="1139"/>
      <c r="AP176" s="1115" t="s">
        <v>848</v>
      </c>
      <c r="AQ176" s="406">
        <v>64.5</v>
      </c>
      <c r="AR176" s="407" t="s">
        <v>764</v>
      </c>
      <c r="AS176" s="888"/>
      <c r="AT176" s="1305"/>
      <c r="AY176" s="1382" t="s">
        <v>1308</v>
      </c>
      <c r="AZ176" s="1383"/>
      <c r="BA176" s="1383"/>
      <c r="BB176" s="1383"/>
      <c r="BC176" s="1383"/>
      <c r="BD176" s="1383"/>
      <c r="BE176" s="1383"/>
      <c r="BF176" s="1384"/>
    </row>
    <row r="177" spans="1:61" ht="15.6" hidden="1" customHeight="1" x14ac:dyDescent="0.25">
      <c r="A177" s="636"/>
      <c r="B177" s="1531"/>
      <c r="C177" s="132"/>
      <c r="D177" s="132"/>
      <c r="E177" s="132"/>
      <c r="F177" s="801"/>
      <c r="G177" s="801"/>
      <c r="H177" s="801"/>
      <c r="I177" s="40"/>
      <c r="J177" s="801"/>
      <c r="K177" s="801"/>
      <c r="L177" s="801"/>
      <c r="M177" s="132"/>
      <c r="N177" s="411"/>
      <c r="O177" s="801"/>
      <c r="P177" s="342"/>
      <c r="Q177" s="412"/>
      <c r="R177" s="412"/>
      <c r="S177" s="412"/>
      <c r="T177" s="433"/>
      <c r="U177" s="783"/>
      <c r="V177" s="373"/>
      <c r="W177" s="888"/>
      <c r="X177" s="1513"/>
      <c r="Y177" s="132"/>
      <c r="Z177" s="132"/>
      <c r="AA177" s="132"/>
      <c r="AB177" s="801"/>
      <c r="AC177" s="801"/>
      <c r="AD177" s="801"/>
      <c r="AE177" s="40"/>
      <c r="AF177" s="801"/>
      <c r="AG177" s="801"/>
      <c r="AH177" s="801"/>
      <c r="AI177" s="132"/>
      <c r="AJ177" s="411"/>
      <c r="AK177" s="801"/>
      <c r="AL177" s="342"/>
      <c r="AM177" s="412"/>
      <c r="AN177" s="412"/>
      <c r="AO177" s="412"/>
      <c r="AP177" s="433"/>
      <c r="AQ177" s="783"/>
      <c r="AR177" s="373"/>
      <c r="AS177" s="888"/>
      <c r="AT177" s="1305"/>
      <c r="AY177" s="1335" t="s">
        <v>805</v>
      </c>
      <c r="AZ177" s="1336" t="s">
        <v>25</v>
      </c>
      <c r="BA177" s="1337" t="s">
        <v>5</v>
      </c>
      <c r="BB177" s="1337" t="s">
        <v>504</v>
      </c>
      <c r="BC177" s="1338" t="s">
        <v>506</v>
      </c>
      <c r="BD177" s="1339"/>
      <c r="BE177" s="1528" t="s">
        <v>1302</v>
      </c>
      <c r="BF177" s="1529"/>
    </row>
    <row r="178" spans="1:61" ht="15.6" hidden="1" customHeight="1" x14ac:dyDescent="0.25">
      <c r="A178" s="636"/>
      <c r="B178" s="1531"/>
      <c r="C178" s="1181" t="s">
        <v>852</v>
      </c>
      <c r="D178" s="1182"/>
      <c r="E178" s="1182"/>
      <c r="F178" s="1182"/>
      <c r="G178" s="1182"/>
      <c r="H178" s="1077"/>
      <c r="I178" s="1182"/>
      <c r="J178" s="1183"/>
      <c r="K178" s="1487" t="s">
        <v>950</v>
      </c>
      <c r="L178" s="1488"/>
      <c r="M178" s="1488"/>
      <c r="N178" s="1489"/>
      <c r="O178" s="1490" t="s">
        <v>807</v>
      </c>
      <c r="P178" s="1491"/>
      <c r="Q178" s="1494" t="s">
        <v>992</v>
      </c>
      <c r="R178" s="1495"/>
      <c r="S178" s="1498" t="s">
        <v>993</v>
      </c>
      <c r="T178" s="801"/>
      <c r="U178" s="784"/>
      <c r="V178" s="373"/>
      <c r="W178" s="888"/>
      <c r="X178" s="1513"/>
      <c r="Y178" s="1182" t="s">
        <v>852</v>
      </c>
      <c r="Z178" s="1182"/>
      <c r="AA178" s="1182"/>
      <c r="AB178" s="1182"/>
      <c r="AC178" s="1182"/>
      <c r="AD178" s="1077"/>
      <c r="AE178" s="1182"/>
      <c r="AF178" s="1183"/>
      <c r="AG178" s="1487" t="s">
        <v>950</v>
      </c>
      <c r="AH178" s="1488"/>
      <c r="AI178" s="1488"/>
      <c r="AJ178" s="1489"/>
      <c r="AK178" s="1490" t="s">
        <v>807</v>
      </c>
      <c r="AL178" s="1491"/>
      <c r="AM178" s="1494" t="s">
        <v>992</v>
      </c>
      <c r="AN178" s="1495"/>
      <c r="AO178" s="1498" t="s">
        <v>993</v>
      </c>
      <c r="AP178" s="801"/>
      <c r="AQ178" s="784"/>
      <c r="AR178" s="373"/>
      <c r="AS178" s="888"/>
      <c r="AT178" s="1305"/>
      <c r="AY178" s="704" t="s">
        <v>1303</v>
      </c>
      <c r="AZ178" s="1340"/>
      <c r="BA178" s="1340"/>
      <c r="BB178" s="1341"/>
      <c r="BC178" s="1341"/>
      <c r="BD178" s="434"/>
      <c r="BE178" s="1184" t="s">
        <v>1304</v>
      </c>
      <c r="BF178" s="1184" t="s">
        <v>529</v>
      </c>
    </row>
    <row r="179" spans="1:61" ht="15.6" hidden="1" customHeight="1" x14ac:dyDescent="0.25">
      <c r="A179" s="636"/>
      <c r="B179" s="1531"/>
      <c r="C179" s="1078" t="s">
        <v>955</v>
      </c>
      <c r="D179" s="1030"/>
      <c r="E179" s="1045"/>
      <c r="F179" s="1079"/>
      <c r="G179" s="1080" t="s">
        <v>948</v>
      </c>
      <c r="H179" s="1082" t="s">
        <v>1127</v>
      </c>
      <c r="I179" s="1500" t="s">
        <v>991</v>
      </c>
      <c r="J179" s="1501"/>
      <c r="K179" s="1188" t="s">
        <v>13</v>
      </c>
      <c r="L179" s="698" t="s">
        <v>14</v>
      </c>
      <c r="M179" s="698" t="s">
        <v>15</v>
      </c>
      <c r="N179" s="698" t="s">
        <v>949</v>
      </c>
      <c r="O179" s="1492"/>
      <c r="P179" s="1493"/>
      <c r="Q179" s="1496"/>
      <c r="R179" s="1497"/>
      <c r="S179" s="1499"/>
      <c r="T179" s="801"/>
      <c r="U179" s="801"/>
      <c r="V179" s="801"/>
      <c r="W179" s="888"/>
      <c r="X179" s="1513"/>
      <c r="Y179" s="1045" t="s">
        <v>955</v>
      </c>
      <c r="Z179" s="1030"/>
      <c r="AA179" s="1045"/>
      <c r="AB179" s="1079"/>
      <c r="AC179" s="1080" t="s">
        <v>948</v>
      </c>
      <c r="AD179" s="1082" t="s">
        <v>1127</v>
      </c>
      <c r="AE179" s="1500" t="s">
        <v>991</v>
      </c>
      <c r="AF179" s="1501"/>
      <c r="AG179" s="1188" t="s">
        <v>13</v>
      </c>
      <c r="AH179" s="698" t="s">
        <v>14</v>
      </c>
      <c r="AI179" s="698" t="s">
        <v>15</v>
      </c>
      <c r="AJ179" s="698" t="s">
        <v>949</v>
      </c>
      <c r="AK179" s="1492"/>
      <c r="AL179" s="1493"/>
      <c r="AM179" s="1496"/>
      <c r="AN179" s="1497"/>
      <c r="AO179" s="1499"/>
      <c r="AP179" s="801"/>
      <c r="AQ179" s="801"/>
      <c r="AR179" s="801"/>
      <c r="AS179" s="888"/>
      <c r="AT179" s="1305"/>
      <c r="AY179" s="735">
        <v>1</v>
      </c>
      <c r="AZ179" s="1342">
        <v>360</v>
      </c>
      <c r="BA179" s="1343">
        <v>0</v>
      </c>
      <c r="BB179" s="1344" t="s">
        <v>38</v>
      </c>
      <c r="BC179" s="1345" t="s">
        <v>39</v>
      </c>
      <c r="BD179" s="1346"/>
      <c r="BE179" s="1376">
        <f>Q183</f>
        <v>67.349999999999994</v>
      </c>
      <c r="BF179" s="1376">
        <f>AM183</f>
        <v>65.5</v>
      </c>
    </row>
    <row r="180" spans="1:61" ht="15.6" hidden="1" customHeight="1" x14ac:dyDescent="0.25">
      <c r="A180" s="636"/>
      <c r="B180" s="1531"/>
      <c r="C180" s="690" t="s">
        <v>945</v>
      </c>
      <c r="D180" s="692"/>
      <c r="E180" s="692"/>
      <c r="F180" s="692"/>
      <c r="G180" s="313"/>
      <c r="H180" s="313"/>
      <c r="I180" s="312"/>
      <c r="J180" s="313"/>
      <c r="K180" s="313"/>
      <c r="L180" s="313"/>
      <c r="M180" s="702"/>
      <c r="N180" s="1044"/>
      <c r="O180" s="1044"/>
      <c r="P180" s="424"/>
      <c r="Q180" s="702"/>
      <c r="R180" s="702"/>
      <c r="S180" s="1081"/>
      <c r="T180" s="1078"/>
      <c r="U180" s="1502" t="s">
        <v>1129</v>
      </c>
      <c r="V180" s="1502"/>
      <c r="W180" s="888"/>
      <c r="X180" s="1513"/>
      <c r="Y180" s="1142" t="s">
        <v>945</v>
      </c>
      <c r="Z180" s="692"/>
      <c r="AA180" s="692"/>
      <c r="AB180" s="692"/>
      <c r="AC180" s="313"/>
      <c r="AD180" s="313"/>
      <c r="AE180" s="312"/>
      <c r="AF180" s="313"/>
      <c r="AG180" s="313"/>
      <c r="AH180" s="313"/>
      <c r="AI180" s="702"/>
      <c r="AJ180" s="1044"/>
      <c r="AK180" s="1044"/>
      <c r="AL180" s="424"/>
      <c r="AM180" s="702"/>
      <c r="AN180" s="702"/>
      <c r="AO180" s="1081"/>
      <c r="AP180" s="1078"/>
      <c r="AQ180" s="1502" t="s">
        <v>1129</v>
      </c>
      <c r="AR180" s="1502"/>
      <c r="AS180" s="888"/>
      <c r="AT180" s="1305"/>
      <c r="AW180" s="9"/>
      <c r="AX180" s="9"/>
      <c r="AY180" s="1347" t="s">
        <v>1305</v>
      </c>
      <c r="AZ180" s="1348"/>
      <c r="BA180" s="1348"/>
      <c r="BB180" s="1349"/>
      <c r="BC180" s="1350"/>
      <c r="BD180" s="1351"/>
      <c r="BE180" s="826"/>
      <c r="BF180" s="826"/>
    </row>
    <row r="181" spans="1:61" ht="15.6" hidden="1" customHeight="1" x14ac:dyDescent="0.25">
      <c r="A181" s="636"/>
      <c r="B181" s="1531"/>
      <c r="C181" s="431" t="s">
        <v>28</v>
      </c>
      <c r="D181" s="687"/>
      <c r="E181" s="687"/>
      <c r="F181" s="687"/>
      <c r="G181" s="689">
        <v>1</v>
      </c>
      <c r="H181" s="1083">
        <v>1</v>
      </c>
      <c r="I181" s="1472">
        <v>360</v>
      </c>
      <c r="J181" s="1472"/>
      <c r="K181" s="618">
        <v>0</v>
      </c>
      <c r="L181" s="618">
        <v>0</v>
      </c>
      <c r="M181" s="618">
        <v>0</v>
      </c>
      <c r="N181" s="618">
        <v>0</v>
      </c>
      <c r="O181" s="1466" t="s">
        <v>1128</v>
      </c>
      <c r="P181" s="1466"/>
      <c r="Q181" s="1473">
        <v>68.430000000000007</v>
      </c>
      <c r="R181" s="1474"/>
      <c r="S181" s="707" t="s">
        <v>32</v>
      </c>
      <c r="T181" s="132"/>
      <c r="U181" s="1502"/>
      <c r="V181" s="1502"/>
      <c r="W181" s="1098"/>
      <c r="X181" s="1513"/>
      <c r="Y181" s="459" t="s">
        <v>28</v>
      </c>
      <c r="Z181" s="687"/>
      <c r="AA181" s="687"/>
      <c r="AB181" s="687"/>
      <c r="AC181" s="689">
        <v>1</v>
      </c>
      <c r="AD181" s="1083">
        <v>1</v>
      </c>
      <c r="AE181" s="1472">
        <v>360</v>
      </c>
      <c r="AF181" s="1472"/>
      <c r="AG181" s="618">
        <v>0</v>
      </c>
      <c r="AH181" s="618">
        <v>0</v>
      </c>
      <c r="AI181" s="618">
        <v>0</v>
      </c>
      <c r="AJ181" s="618">
        <v>0</v>
      </c>
      <c r="AK181" s="1466" t="s">
        <v>1128</v>
      </c>
      <c r="AL181" s="1466"/>
      <c r="AM181" s="1473">
        <v>65.98</v>
      </c>
      <c r="AN181" s="1474"/>
      <c r="AO181" s="707">
        <v>0</v>
      </c>
      <c r="AP181" s="132"/>
      <c r="AQ181" s="1502"/>
      <c r="AR181" s="1502"/>
      <c r="AS181" s="1098"/>
      <c r="AT181" s="1305"/>
      <c r="AW181" s="9"/>
      <c r="AX181" s="9"/>
      <c r="AY181" s="703">
        <v>2</v>
      </c>
      <c r="AZ181" s="1342">
        <f>AE188</f>
        <v>240</v>
      </c>
      <c r="BA181" s="1342"/>
      <c r="BB181" s="1342" t="str">
        <f>AK190</f>
        <v>50 - 50</v>
      </c>
      <c r="BC181" s="1345" t="str">
        <f>Y190</f>
        <v>Abertay</v>
      </c>
      <c r="BD181" s="1365"/>
      <c r="BE181" s="1376">
        <f>Q190</f>
        <v>64.5</v>
      </c>
      <c r="BF181" s="1376">
        <f>AM190</f>
        <v>64.5</v>
      </c>
    </row>
    <row r="182" spans="1:61" ht="15.6" hidden="1" customHeight="1" x14ac:dyDescent="0.25">
      <c r="A182" s="636"/>
      <c r="B182" s="1531"/>
      <c r="C182" s="431" t="s">
        <v>59</v>
      </c>
      <c r="D182" s="687"/>
      <c r="E182" s="687"/>
      <c r="F182" s="687"/>
      <c r="G182" s="685">
        <v>1</v>
      </c>
      <c r="H182" s="1084">
        <v>1</v>
      </c>
      <c r="I182" s="1477">
        <v>360</v>
      </c>
      <c r="J182" s="1477"/>
      <c r="K182" s="684">
        <v>0</v>
      </c>
      <c r="L182" s="684">
        <v>0</v>
      </c>
      <c r="M182" s="684">
        <v>0</v>
      </c>
      <c r="N182" s="684">
        <v>0</v>
      </c>
      <c r="O182" s="1466" t="s">
        <v>1128</v>
      </c>
      <c r="P182" s="1466"/>
      <c r="Q182" s="1467">
        <v>70.55</v>
      </c>
      <c r="R182" s="1468"/>
      <c r="S182" s="707">
        <v>0</v>
      </c>
      <c r="T182" s="706">
        <v>0</v>
      </c>
      <c r="U182" s="1503"/>
      <c r="V182" s="1503"/>
      <c r="W182" s="1190"/>
      <c r="X182" s="1513"/>
      <c r="Y182" s="459" t="s">
        <v>59</v>
      </c>
      <c r="Z182" s="687"/>
      <c r="AA182" s="687"/>
      <c r="AB182" s="687"/>
      <c r="AC182" s="685">
        <v>1</v>
      </c>
      <c r="AD182" s="1084">
        <v>1</v>
      </c>
      <c r="AE182" s="1477">
        <v>360</v>
      </c>
      <c r="AF182" s="1477"/>
      <c r="AG182" s="684">
        <v>0</v>
      </c>
      <c r="AH182" s="684">
        <v>0</v>
      </c>
      <c r="AI182" s="684">
        <v>0</v>
      </c>
      <c r="AJ182" s="684">
        <v>0</v>
      </c>
      <c r="AK182" s="1466" t="s">
        <v>1128</v>
      </c>
      <c r="AL182" s="1466"/>
      <c r="AM182" s="1467">
        <v>66.78</v>
      </c>
      <c r="AN182" s="1468"/>
      <c r="AO182" s="707">
        <v>0</v>
      </c>
      <c r="AP182" s="706">
        <v>0</v>
      </c>
      <c r="AQ182" s="1503"/>
      <c r="AR182" s="1503"/>
      <c r="AS182" s="1190"/>
      <c r="AT182" s="1305"/>
      <c r="AW182" s="9"/>
      <c r="AX182" s="538"/>
      <c r="AY182" s="735">
        <v>3</v>
      </c>
      <c r="AZ182" s="1342">
        <v>240</v>
      </c>
      <c r="BA182" s="1343">
        <v>0</v>
      </c>
      <c r="BB182" s="1342" t="s">
        <v>20</v>
      </c>
      <c r="BC182" s="1345" t="s">
        <v>164</v>
      </c>
      <c r="BD182" s="1346"/>
      <c r="BE182" s="1376">
        <f>Q193</f>
        <v>67.73</v>
      </c>
      <c r="BF182" s="1361">
        <f>AM193</f>
        <v>65.63</v>
      </c>
    </row>
    <row r="183" spans="1:61" ht="15.6" hidden="1" customHeight="1" x14ac:dyDescent="0.25">
      <c r="A183" s="636"/>
      <c r="B183" s="1531"/>
      <c r="C183" s="431" t="s">
        <v>34</v>
      </c>
      <c r="D183" s="687"/>
      <c r="E183" s="687"/>
      <c r="F183" s="687"/>
      <c r="G183" s="686">
        <v>2</v>
      </c>
      <c r="H183" s="1085">
        <v>2</v>
      </c>
      <c r="I183" s="1477">
        <v>360</v>
      </c>
      <c r="J183" s="1477"/>
      <c r="K183" s="684">
        <v>0</v>
      </c>
      <c r="L183" s="684">
        <v>0</v>
      </c>
      <c r="M183" s="684">
        <v>0</v>
      </c>
      <c r="N183" s="684">
        <v>0</v>
      </c>
      <c r="O183" s="1477" t="s">
        <v>38</v>
      </c>
      <c r="P183" s="1477"/>
      <c r="Q183" s="1467">
        <v>67.349999999999994</v>
      </c>
      <c r="R183" s="1468"/>
      <c r="S183" s="707">
        <v>0</v>
      </c>
      <c r="T183" s="132"/>
      <c r="U183" s="196" t="s">
        <v>781</v>
      </c>
      <c r="V183" s="196">
        <v>41</v>
      </c>
      <c r="W183" s="348"/>
      <c r="X183" s="1513"/>
      <c r="Y183" s="459" t="s">
        <v>34</v>
      </c>
      <c r="Z183" s="687"/>
      <c r="AA183" s="687"/>
      <c r="AB183" s="687"/>
      <c r="AC183" s="686">
        <v>2</v>
      </c>
      <c r="AD183" s="1085">
        <v>2</v>
      </c>
      <c r="AE183" s="1477">
        <v>360</v>
      </c>
      <c r="AF183" s="1477"/>
      <c r="AG183" s="684">
        <v>0</v>
      </c>
      <c r="AH183" s="684">
        <v>0</v>
      </c>
      <c r="AI183" s="684">
        <v>0</v>
      </c>
      <c r="AJ183" s="684">
        <v>0</v>
      </c>
      <c r="AK183" s="1477" t="s">
        <v>38</v>
      </c>
      <c r="AL183" s="1477"/>
      <c r="AM183" s="1467">
        <v>65.5</v>
      </c>
      <c r="AN183" s="1468"/>
      <c r="AO183" s="707">
        <v>0</v>
      </c>
      <c r="AP183" s="132"/>
      <c r="AQ183" s="196" t="s">
        <v>781</v>
      </c>
      <c r="AR183" s="196">
        <v>0</v>
      </c>
      <c r="AS183" s="348"/>
      <c r="AT183" s="1305"/>
      <c r="AW183" s="9"/>
      <c r="AX183" s="1366"/>
      <c r="AY183" s="748">
        <v>4</v>
      </c>
      <c r="AZ183" s="1352">
        <v>240</v>
      </c>
      <c r="BA183" s="1353">
        <v>0</v>
      </c>
      <c r="BB183" s="1352" t="s">
        <v>23</v>
      </c>
      <c r="BC183" s="1225" t="s">
        <v>242</v>
      </c>
      <c r="BD183" s="1354"/>
      <c r="BE183" s="1376">
        <f>Q196</f>
        <v>69.25</v>
      </c>
      <c r="BF183" s="1376">
        <f>AM196</f>
        <v>66.17</v>
      </c>
    </row>
    <row r="184" spans="1:61" ht="15.6" hidden="1" customHeight="1" x14ac:dyDescent="0.25">
      <c r="A184" s="636"/>
      <c r="B184" s="1531"/>
      <c r="C184" s="431" t="s">
        <v>44</v>
      </c>
      <c r="D184" s="687"/>
      <c r="E184" s="687"/>
      <c r="F184" s="687"/>
      <c r="G184" s="686">
        <v>3</v>
      </c>
      <c r="H184" s="1085">
        <v>1</v>
      </c>
      <c r="I184" s="1477">
        <v>320</v>
      </c>
      <c r="J184" s="1477"/>
      <c r="K184" s="684">
        <v>40</v>
      </c>
      <c r="L184" s="684">
        <v>0</v>
      </c>
      <c r="M184" s="684">
        <v>0</v>
      </c>
      <c r="N184" s="684">
        <v>40</v>
      </c>
      <c r="O184" s="1477" t="s">
        <v>38</v>
      </c>
      <c r="P184" s="1477"/>
      <c r="Q184" s="1467">
        <v>67.83</v>
      </c>
      <c r="R184" s="1468"/>
      <c r="S184" s="707">
        <v>0</v>
      </c>
      <c r="T184" s="132"/>
      <c r="U184" s="196" t="s">
        <v>803</v>
      </c>
      <c r="V184" s="196">
        <v>81</v>
      </c>
      <c r="W184" s="348"/>
      <c r="X184" s="1513"/>
      <c r="Y184" s="459" t="s">
        <v>44</v>
      </c>
      <c r="Z184" s="687"/>
      <c r="AA184" s="687"/>
      <c r="AB184" s="687"/>
      <c r="AC184" s="686">
        <v>3</v>
      </c>
      <c r="AD184" s="1085">
        <v>1</v>
      </c>
      <c r="AE184" s="1477">
        <v>320</v>
      </c>
      <c r="AF184" s="1477"/>
      <c r="AG184" s="684">
        <v>40</v>
      </c>
      <c r="AH184" s="684">
        <v>0</v>
      </c>
      <c r="AI184" s="684">
        <v>0</v>
      </c>
      <c r="AJ184" s="684">
        <v>40</v>
      </c>
      <c r="AK184" s="1477" t="s">
        <v>38</v>
      </c>
      <c r="AL184" s="1477"/>
      <c r="AM184" s="1467">
        <v>65.97</v>
      </c>
      <c r="AN184" s="1468"/>
      <c r="AO184" s="707">
        <v>0</v>
      </c>
      <c r="AP184" s="132"/>
      <c r="AQ184" s="196" t="s">
        <v>803</v>
      </c>
      <c r="AR184" s="196">
        <v>122</v>
      </c>
      <c r="AS184" s="348"/>
      <c r="AT184" s="1305"/>
      <c r="AW184" s="9"/>
      <c r="AX184" s="219"/>
      <c r="AY184" s="731">
        <v>5</v>
      </c>
      <c r="AZ184" s="1355">
        <v>240</v>
      </c>
      <c r="BA184" s="1356">
        <v>0</v>
      </c>
      <c r="BB184" s="1357" t="s">
        <v>24</v>
      </c>
      <c r="BC184" s="1358" t="s">
        <v>270</v>
      </c>
      <c r="BD184" s="1339"/>
      <c r="BE184" s="1376">
        <f>Q197</f>
        <v>70.2</v>
      </c>
      <c r="BF184" s="1376">
        <f>AM197</f>
        <v>66.5</v>
      </c>
    </row>
    <row r="185" spans="1:61" ht="15.6" hidden="1" customHeight="1" x14ac:dyDescent="0.25">
      <c r="A185" s="636"/>
      <c r="B185" s="1531"/>
      <c r="C185" s="431" t="s">
        <v>51</v>
      </c>
      <c r="D185" s="687"/>
      <c r="E185" s="687"/>
      <c r="F185" s="687"/>
      <c r="G185" s="686">
        <v>4</v>
      </c>
      <c r="H185" s="1085">
        <v>1</v>
      </c>
      <c r="I185" s="1477">
        <v>300</v>
      </c>
      <c r="J185" s="1477"/>
      <c r="K185" s="684">
        <v>60</v>
      </c>
      <c r="L185" s="684">
        <v>0</v>
      </c>
      <c r="M185" s="684">
        <v>0</v>
      </c>
      <c r="N185" s="684">
        <v>60</v>
      </c>
      <c r="O185" s="1485" t="s">
        <v>54</v>
      </c>
      <c r="P185" s="1485"/>
      <c r="Q185" s="1467">
        <v>66.89</v>
      </c>
      <c r="R185" s="1468"/>
      <c r="S185" s="707">
        <v>0</v>
      </c>
      <c r="T185" s="132"/>
      <c r="U185" s="196" t="s">
        <v>802</v>
      </c>
      <c r="V185" s="196">
        <v>0</v>
      </c>
      <c r="W185" s="348"/>
      <c r="X185" s="1513"/>
      <c r="Y185" s="459" t="s">
        <v>51</v>
      </c>
      <c r="Z185" s="687"/>
      <c r="AA185" s="687"/>
      <c r="AB185" s="687"/>
      <c r="AC185" s="686">
        <v>4</v>
      </c>
      <c r="AD185" s="1085">
        <v>1</v>
      </c>
      <c r="AE185" s="1477">
        <v>300</v>
      </c>
      <c r="AF185" s="1477"/>
      <c r="AG185" s="684">
        <v>60</v>
      </c>
      <c r="AH185" s="684">
        <v>0</v>
      </c>
      <c r="AI185" s="684">
        <v>0</v>
      </c>
      <c r="AJ185" s="684">
        <v>60</v>
      </c>
      <c r="AK185" s="1485" t="s">
        <v>54</v>
      </c>
      <c r="AL185" s="1485"/>
      <c r="AM185" s="1467">
        <v>66.89</v>
      </c>
      <c r="AN185" s="1468"/>
      <c r="AO185" s="707">
        <v>0</v>
      </c>
      <c r="AP185" s="132"/>
      <c r="AQ185" s="196" t="s">
        <v>802</v>
      </c>
      <c r="AR185" s="196">
        <v>0</v>
      </c>
      <c r="AS185" s="348"/>
      <c r="AT185" s="1305"/>
      <c r="AW185" s="9"/>
      <c r="AX185" s="220"/>
      <c r="AY185" s="748">
        <v>6</v>
      </c>
      <c r="AZ185" s="1352">
        <v>210</v>
      </c>
      <c r="BA185" s="1352">
        <v>30</v>
      </c>
      <c r="BB185" s="1359" t="s">
        <v>16</v>
      </c>
      <c r="BC185" s="1225" t="s">
        <v>1050</v>
      </c>
      <c r="BD185" s="1354"/>
      <c r="BE185" s="1376">
        <f>Q199</f>
        <v>74.78</v>
      </c>
      <c r="BF185" s="1376">
        <f>AM199</f>
        <v>68.25</v>
      </c>
      <c r="BG185" s="9"/>
      <c r="BH185" s="9"/>
      <c r="BI185" s="9"/>
    </row>
    <row r="186" spans="1:61" ht="15.6" hidden="1" customHeight="1" x14ac:dyDescent="0.25">
      <c r="A186" s="636"/>
      <c r="B186" s="1531"/>
      <c r="C186" s="431" t="s">
        <v>55</v>
      </c>
      <c r="D186" s="687"/>
      <c r="E186" s="687"/>
      <c r="F186" s="687"/>
      <c r="G186" s="453">
        <v>5</v>
      </c>
      <c r="H186" s="1086">
        <v>1</v>
      </c>
      <c r="I186" s="1469">
        <v>300</v>
      </c>
      <c r="J186" s="1469"/>
      <c r="K186" s="617">
        <v>30</v>
      </c>
      <c r="L186" s="617">
        <v>15</v>
      </c>
      <c r="M186" s="617">
        <v>15</v>
      </c>
      <c r="N186" s="617">
        <v>60</v>
      </c>
      <c r="O186" s="1486" t="s">
        <v>33</v>
      </c>
      <c r="P186" s="1486"/>
      <c r="Q186" s="1470">
        <v>67.489999999999995</v>
      </c>
      <c r="R186" s="1471"/>
      <c r="S186" s="707">
        <v>0</v>
      </c>
      <c r="T186" s="132"/>
      <c r="U186" s="196" t="s">
        <v>801</v>
      </c>
      <c r="V186" s="196">
        <v>0</v>
      </c>
      <c r="W186" s="348"/>
      <c r="X186" s="1513"/>
      <c r="Y186" s="459" t="s">
        <v>55</v>
      </c>
      <c r="Z186" s="687"/>
      <c r="AA186" s="687"/>
      <c r="AB186" s="687"/>
      <c r="AC186" s="453">
        <v>5</v>
      </c>
      <c r="AD186" s="1086">
        <v>1</v>
      </c>
      <c r="AE186" s="1469">
        <v>300</v>
      </c>
      <c r="AF186" s="1469"/>
      <c r="AG186" s="617">
        <v>30</v>
      </c>
      <c r="AH186" s="617">
        <v>15</v>
      </c>
      <c r="AI186" s="617">
        <v>15</v>
      </c>
      <c r="AJ186" s="617">
        <v>60</v>
      </c>
      <c r="AK186" s="1486" t="s">
        <v>33</v>
      </c>
      <c r="AL186" s="1486"/>
      <c r="AM186" s="1470">
        <v>65.94</v>
      </c>
      <c r="AN186" s="1471"/>
      <c r="AO186" s="707">
        <v>0</v>
      </c>
      <c r="AP186" s="132"/>
      <c r="AQ186" s="196" t="s">
        <v>801</v>
      </c>
      <c r="AR186" s="196">
        <v>0</v>
      </c>
      <c r="AS186" s="348"/>
      <c r="AT186" s="1305"/>
      <c r="AW186" s="9"/>
      <c r="AX186" s="219"/>
      <c r="AY186" s="748">
        <v>7</v>
      </c>
      <c r="AZ186" s="1352">
        <v>210</v>
      </c>
      <c r="BA186" s="1352">
        <v>30</v>
      </c>
      <c r="BB186" s="1359" t="s">
        <v>23</v>
      </c>
      <c r="BC186" s="1225" t="s">
        <v>295</v>
      </c>
      <c r="BD186" s="1354"/>
      <c r="BE186" s="1376">
        <f>Q201</f>
        <v>70.430000000000007</v>
      </c>
      <c r="BF186" s="1376">
        <f>AM201</f>
        <v>66.87</v>
      </c>
      <c r="BG186" s="9"/>
      <c r="BH186" s="9"/>
      <c r="BI186" s="9"/>
    </row>
    <row r="187" spans="1:61" ht="15.6" hidden="1" customHeight="1" x14ac:dyDescent="0.25">
      <c r="A187" s="636"/>
      <c r="B187" s="1531"/>
      <c r="C187" s="690" t="s">
        <v>946</v>
      </c>
      <c r="D187" s="442"/>
      <c r="E187" s="442"/>
      <c r="F187" s="442"/>
      <c r="G187" s="313"/>
      <c r="H187" s="1087" t="s">
        <v>29</v>
      </c>
      <c r="I187" s="691"/>
      <c r="J187" s="312"/>
      <c r="K187" s="1187"/>
      <c r="L187" s="1187"/>
      <c r="M187" s="1187"/>
      <c r="N187" s="1187"/>
      <c r="O187" s="697"/>
      <c r="P187" s="313"/>
      <c r="Q187" s="708"/>
      <c r="R187" s="795"/>
      <c r="S187" s="1075"/>
      <c r="T187" s="132"/>
      <c r="U187" s="196" t="s">
        <v>515</v>
      </c>
      <c r="V187" s="196">
        <v>122</v>
      </c>
      <c r="W187" s="348"/>
      <c r="X187" s="1513"/>
      <c r="Y187" s="1142" t="s">
        <v>946</v>
      </c>
      <c r="Z187" s="442"/>
      <c r="AA187" s="442"/>
      <c r="AB187" s="442"/>
      <c r="AC187" s="313"/>
      <c r="AD187" s="1087" t="s">
        <v>29</v>
      </c>
      <c r="AE187" s="691"/>
      <c r="AF187" s="312"/>
      <c r="AG187" s="1187"/>
      <c r="AH187" s="1187"/>
      <c r="AI187" s="1187"/>
      <c r="AJ187" s="1187"/>
      <c r="AK187" s="697"/>
      <c r="AL187" s="313"/>
      <c r="AM187" s="708"/>
      <c r="AN187" s="795"/>
      <c r="AO187" s="1075"/>
      <c r="AP187" s="132"/>
      <c r="AQ187" s="196" t="s">
        <v>515</v>
      </c>
      <c r="AR187" s="196">
        <v>122</v>
      </c>
      <c r="AS187" s="348"/>
      <c r="AT187" s="1305"/>
      <c r="AW187" s="9"/>
      <c r="AX187" s="220"/>
      <c r="AY187" s="748">
        <v>8</v>
      </c>
      <c r="AZ187" s="1352">
        <v>210</v>
      </c>
      <c r="BA187" s="1352">
        <v>30</v>
      </c>
      <c r="BB187" s="1359" t="s">
        <v>24</v>
      </c>
      <c r="BC187" s="1225" t="s">
        <v>299</v>
      </c>
      <c r="BD187" s="1354"/>
      <c r="BE187" s="1376">
        <f>Q202</f>
        <v>71.87</v>
      </c>
      <c r="BF187" s="1376">
        <f>AM202</f>
        <v>67.489999999999995</v>
      </c>
      <c r="BG187" s="9"/>
      <c r="BH187" s="9"/>
      <c r="BI187" s="9"/>
    </row>
    <row r="188" spans="1:61" ht="15.6" hidden="1" customHeight="1" x14ac:dyDescent="0.25">
      <c r="A188" s="636"/>
      <c r="B188" s="1531"/>
      <c r="C188" s="431" t="s">
        <v>402</v>
      </c>
      <c r="D188" s="687"/>
      <c r="E188" s="687"/>
      <c r="F188" s="687"/>
      <c r="G188" s="689">
        <v>7</v>
      </c>
      <c r="H188" s="1083">
        <v>1</v>
      </c>
      <c r="I188" s="1472">
        <v>240</v>
      </c>
      <c r="J188" s="1472"/>
      <c r="K188" s="618">
        <v>0</v>
      </c>
      <c r="L188" s="618">
        <v>0</v>
      </c>
      <c r="M188" s="618">
        <v>0</v>
      </c>
      <c r="N188" s="618">
        <v>0</v>
      </c>
      <c r="O188" s="1466" t="s">
        <v>1128</v>
      </c>
      <c r="P188" s="1466"/>
      <c r="Q188" s="1473">
        <v>69</v>
      </c>
      <c r="R188" s="1474"/>
      <c r="S188" s="707" t="s">
        <v>32</v>
      </c>
      <c r="T188" s="801"/>
      <c r="U188" s="801"/>
      <c r="V188" s="951"/>
      <c r="W188" s="348"/>
      <c r="X188" s="1513"/>
      <c r="Y188" s="459" t="s">
        <v>402</v>
      </c>
      <c r="Z188" s="687"/>
      <c r="AA188" s="687"/>
      <c r="AB188" s="687"/>
      <c r="AC188" s="689">
        <v>7</v>
      </c>
      <c r="AD188" s="1083">
        <v>1</v>
      </c>
      <c r="AE188" s="1472">
        <v>240</v>
      </c>
      <c r="AF188" s="1472"/>
      <c r="AG188" s="618">
        <v>0</v>
      </c>
      <c r="AH188" s="618">
        <v>0</v>
      </c>
      <c r="AI188" s="618">
        <v>0</v>
      </c>
      <c r="AJ188" s="618">
        <v>0</v>
      </c>
      <c r="AK188" s="1466" t="s">
        <v>1128</v>
      </c>
      <c r="AL188" s="1466"/>
      <c r="AM188" s="1473">
        <v>66.209999999999994</v>
      </c>
      <c r="AN188" s="1474"/>
      <c r="AO188" s="707">
        <v>0</v>
      </c>
      <c r="AP188" s="801"/>
      <c r="AQ188" s="801"/>
      <c r="AR188" s="951"/>
      <c r="AS188" s="348"/>
      <c r="AT188" s="1305"/>
      <c r="AW188" s="9"/>
      <c r="AX188" s="220"/>
      <c r="AY188" s="748">
        <v>9</v>
      </c>
      <c r="AZ188" s="1352">
        <v>200</v>
      </c>
      <c r="BA188" s="1352">
        <v>40</v>
      </c>
      <c r="BB188" s="1359" t="s">
        <v>23</v>
      </c>
      <c r="BC188" s="1225" t="s">
        <v>357</v>
      </c>
      <c r="BD188" s="1354"/>
      <c r="BE188" s="1376">
        <f>Q208</f>
        <v>72.2</v>
      </c>
      <c r="BF188" s="1376">
        <f>AM208</f>
        <v>67.400000000000006</v>
      </c>
      <c r="BG188" s="9"/>
      <c r="BH188" s="9"/>
      <c r="BI188" s="9"/>
    </row>
    <row r="189" spans="1:61" ht="15.6" hidden="1" customHeight="1" x14ac:dyDescent="0.25">
      <c r="A189" s="636"/>
      <c r="B189" s="1531"/>
      <c r="C189" s="431" t="s">
        <v>273</v>
      </c>
      <c r="D189" s="687"/>
      <c r="E189" s="687"/>
      <c r="F189" s="687"/>
      <c r="G189" s="685">
        <v>7</v>
      </c>
      <c r="H189" s="1084">
        <v>1</v>
      </c>
      <c r="I189" s="1477">
        <v>240</v>
      </c>
      <c r="J189" s="1477"/>
      <c r="K189" s="684">
        <v>0</v>
      </c>
      <c r="L189" s="684">
        <v>0</v>
      </c>
      <c r="M189" s="684">
        <v>0</v>
      </c>
      <c r="N189" s="684">
        <v>0</v>
      </c>
      <c r="O189" s="1466" t="s">
        <v>1128</v>
      </c>
      <c r="P189" s="1466"/>
      <c r="Q189" s="1467">
        <v>72.55</v>
      </c>
      <c r="R189" s="1468"/>
      <c r="S189" s="707">
        <v>0</v>
      </c>
      <c r="T189" s="801"/>
      <c r="U189" s="40"/>
      <c r="V189" s="951"/>
      <c r="W189" s="348"/>
      <c r="X189" s="1513"/>
      <c r="Y189" s="459" t="s">
        <v>273</v>
      </c>
      <c r="Z189" s="687"/>
      <c r="AA189" s="687"/>
      <c r="AB189" s="687"/>
      <c r="AC189" s="685">
        <v>7</v>
      </c>
      <c r="AD189" s="1084">
        <v>1</v>
      </c>
      <c r="AE189" s="1477">
        <v>240</v>
      </c>
      <c r="AF189" s="1477"/>
      <c r="AG189" s="684">
        <v>0</v>
      </c>
      <c r="AH189" s="684">
        <v>0</v>
      </c>
      <c r="AI189" s="684">
        <v>0</v>
      </c>
      <c r="AJ189" s="684">
        <v>0</v>
      </c>
      <c r="AK189" s="1466" t="s">
        <v>1128</v>
      </c>
      <c r="AL189" s="1466"/>
      <c r="AM189" s="1467">
        <v>67.650000000000006</v>
      </c>
      <c r="AN189" s="1468"/>
      <c r="AO189" s="707">
        <v>0</v>
      </c>
      <c r="AP189" s="801"/>
      <c r="AQ189" s="40"/>
      <c r="AR189" s="951"/>
      <c r="AS189" s="348"/>
      <c r="AT189" s="1305"/>
      <c r="AW189" s="9"/>
      <c r="AX189" s="220"/>
      <c r="AY189" s="748">
        <v>10</v>
      </c>
      <c r="AZ189" s="1352">
        <v>200</v>
      </c>
      <c r="BA189" s="1352">
        <v>40</v>
      </c>
      <c r="BB189" s="1359" t="s">
        <v>24</v>
      </c>
      <c r="BC189" s="1225" t="s">
        <v>359</v>
      </c>
      <c r="BD189" s="1354"/>
      <c r="BE189" s="1376">
        <f>Q210</f>
        <v>71.760000000000005</v>
      </c>
      <c r="BF189" s="1376">
        <f>AM210</f>
        <v>67.400000000000006</v>
      </c>
      <c r="BG189" s="9"/>
      <c r="BH189" s="9"/>
      <c r="BI189" s="9"/>
    </row>
    <row r="190" spans="1:61" ht="15.6" hidden="1" customHeight="1" x14ac:dyDescent="0.25">
      <c r="A190" s="636"/>
      <c r="B190" s="1531"/>
      <c r="C190" s="431" t="s">
        <v>73</v>
      </c>
      <c r="D190" s="687"/>
      <c r="E190" s="687"/>
      <c r="F190" s="687"/>
      <c r="G190" s="686">
        <v>8</v>
      </c>
      <c r="H190" s="1085">
        <v>8</v>
      </c>
      <c r="I190" s="1477">
        <v>240</v>
      </c>
      <c r="J190" s="1477"/>
      <c r="K190" s="684">
        <v>0</v>
      </c>
      <c r="L190" s="684">
        <v>0</v>
      </c>
      <c r="M190" s="684">
        <v>0</v>
      </c>
      <c r="N190" s="684">
        <v>0</v>
      </c>
      <c r="O190" s="1477" t="s">
        <v>16</v>
      </c>
      <c r="P190" s="1477"/>
      <c r="Q190" s="1467">
        <v>64.5</v>
      </c>
      <c r="R190" s="1468"/>
      <c r="S190" s="707">
        <v>0</v>
      </c>
      <c r="T190" s="801"/>
      <c r="U190" s="801"/>
      <c r="V190" s="801"/>
      <c r="W190" s="348"/>
      <c r="X190" s="1513"/>
      <c r="Y190" s="459" t="s">
        <v>73</v>
      </c>
      <c r="Z190" s="687"/>
      <c r="AA190" s="687"/>
      <c r="AB190" s="687"/>
      <c r="AC190" s="686">
        <v>8</v>
      </c>
      <c r="AD190" s="1085">
        <v>8</v>
      </c>
      <c r="AE190" s="1477">
        <v>240</v>
      </c>
      <c r="AF190" s="1477"/>
      <c r="AG190" s="684">
        <v>0</v>
      </c>
      <c r="AH190" s="684">
        <v>0</v>
      </c>
      <c r="AI190" s="684">
        <v>0</v>
      </c>
      <c r="AJ190" s="684">
        <v>0</v>
      </c>
      <c r="AK190" s="1477" t="s">
        <v>16</v>
      </c>
      <c r="AL190" s="1477"/>
      <c r="AM190" s="1467">
        <v>64.5</v>
      </c>
      <c r="AN190" s="1468"/>
      <c r="AO190" s="707">
        <v>0</v>
      </c>
      <c r="AP190" s="801"/>
      <c r="AQ190" s="801"/>
      <c r="AR190" s="801"/>
      <c r="AS190" s="348"/>
      <c r="AT190" s="1305"/>
      <c r="AW190" s="9"/>
      <c r="AX190" s="220"/>
      <c r="AY190" s="748">
        <v>11</v>
      </c>
      <c r="AZ190" s="1352">
        <v>180</v>
      </c>
      <c r="BA190" s="1352">
        <v>60</v>
      </c>
      <c r="BB190" s="1359" t="s">
        <v>24</v>
      </c>
      <c r="BC190" s="1225" t="s">
        <v>392</v>
      </c>
      <c r="BD190" s="1354"/>
      <c r="BE190" s="1376">
        <f>Q217</f>
        <v>72.400000000000006</v>
      </c>
      <c r="BF190" s="1376">
        <f>AM217</f>
        <v>67.69</v>
      </c>
      <c r="BG190" s="9"/>
      <c r="BH190" s="9"/>
      <c r="BI190" s="9"/>
    </row>
    <row r="191" spans="1:61" ht="15.6" hidden="1" customHeight="1" x14ac:dyDescent="0.25">
      <c r="A191" s="636"/>
      <c r="B191" s="1531"/>
      <c r="C191" s="431" t="s">
        <v>101</v>
      </c>
      <c r="D191" s="687"/>
      <c r="E191" s="687"/>
      <c r="F191" s="687"/>
      <c r="G191" s="686">
        <v>9</v>
      </c>
      <c r="H191" s="1085">
        <v>14</v>
      </c>
      <c r="I191" s="1477">
        <v>240</v>
      </c>
      <c r="J191" s="1477"/>
      <c r="K191" s="684">
        <v>0</v>
      </c>
      <c r="L191" s="684">
        <v>0</v>
      </c>
      <c r="M191" s="684">
        <v>0</v>
      </c>
      <c r="N191" s="684">
        <v>0</v>
      </c>
      <c r="O191" s="1477" t="s">
        <v>18</v>
      </c>
      <c r="P191" s="1477"/>
      <c r="Q191" s="1467">
        <v>66.400000000000006</v>
      </c>
      <c r="R191" s="1468"/>
      <c r="S191" s="707">
        <v>0</v>
      </c>
      <c r="T191" s="801"/>
      <c r="U191" s="801"/>
      <c r="V191" s="801"/>
      <c r="W191" s="1096"/>
      <c r="X191" s="1513"/>
      <c r="Y191" s="459" t="s">
        <v>101</v>
      </c>
      <c r="Z191" s="687"/>
      <c r="AA191" s="687"/>
      <c r="AB191" s="687"/>
      <c r="AC191" s="686">
        <v>9</v>
      </c>
      <c r="AD191" s="1085">
        <v>14</v>
      </c>
      <c r="AE191" s="1477">
        <v>240</v>
      </c>
      <c r="AF191" s="1477"/>
      <c r="AG191" s="684">
        <v>0</v>
      </c>
      <c r="AH191" s="684">
        <v>0</v>
      </c>
      <c r="AI191" s="684">
        <v>0</v>
      </c>
      <c r="AJ191" s="684">
        <v>0</v>
      </c>
      <c r="AK191" s="1477" t="s">
        <v>18</v>
      </c>
      <c r="AL191" s="1477"/>
      <c r="AM191" s="1467">
        <v>65.17</v>
      </c>
      <c r="AN191" s="1468"/>
      <c r="AO191" s="707">
        <v>0</v>
      </c>
      <c r="AP191" s="801"/>
      <c r="AQ191" s="801"/>
      <c r="AR191" s="801"/>
      <c r="AS191" s="1096"/>
      <c r="AT191" s="1305"/>
      <c r="AW191" s="9"/>
      <c r="AX191" s="220"/>
      <c r="AY191" s="748">
        <v>12</v>
      </c>
      <c r="AZ191" s="1352">
        <v>160</v>
      </c>
      <c r="BA191" s="1352">
        <f>$AJ$84</f>
        <v>80</v>
      </c>
      <c r="BB191" s="1359" t="str">
        <f>AK218</f>
        <v>50 - 50</v>
      </c>
      <c r="BC191" s="704" t="s">
        <v>925</v>
      </c>
      <c r="BD191" s="1354"/>
      <c r="BE191" s="1376">
        <f>Q218</f>
        <v>72.25</v>
      </c>
      <c r="BF191" s="1376">
        <f>AM218</f>
        <v>67.38</v>
      </c>
      <c r="BG191" s="9"/>
      <c r="BH191" s="9"/>
      <c r="BI191" s="9"/>
    </row>
    <row r="192" spans="1:61" ht="15.6" hidden="1" customHeight="1" x14ac:dyDescent="0.25">
      <c r="A192" s="636"/>
      <c r="B192" s="1531"/>
      <c r="C192" s="431" t="s">
        <v>150</v>
      </c>
      <c r="D192" s="687"/>
      <c r="E192" s="687"/>
      <c r="F192" s="687"/>
      <c r="G192" s="686">
        <v>10</v>
      </c>
      <c r="H192" s="1085">
        <v>1</v>
      </c>
      <c r="I192" s="1477">
        <v>240</v>
      </c>
      <c r="J192" s="1477"/>
      <c r="K192" s="684">
        <v>0</v>
      </c>
      <c r="L192" s="684">
        <v>0</v>
      </c>
      <c r="M192" s="684">
        <v>0</v>
      </c>
      <c r="N192" s="684">
        <v>0</v>
      </c>
      <c r="O192" s="1477" t="s">
        <v>19</v>
      </c>
      <c r="P192" s="1477"/>
      <c r="Q192" s="1467">
        <v>67.349999999999994</v>
      </c>
      <c r="R192" s="1468"/>
      <c r="S192" s="707">
        <v>0</v>
      </c>
      <c r="T192" s="1483" t="s">
        <v>998</v>
      </c>
      <c r="U192" s="1484"/>
      <c r="V192" s="1484"/>
      <c r="W192" s="1096"/>
      <c r="X192" s="1513"/>
      <c r="Y192" s="459" t="s">
        <v>150</v>
      </c>
      <c r="Z192" s="687"/>
      <c r="AA192" s="687"/>
      <c r="AB192" s="687"/>
      <c r="AC192" s="686">
        <v>10</v>
      </c>
      <c r="AD192" s="1085">
        <v>1</v>
      </c>
      <c r="AE192" s="1477">
        <v>240</v>
      </c>
      <c r="AF192" s="1477"/>
      <c r="AG192" s="684">
        <v>0</v>
      </c>
      <c r="AH192" s="684">
        <v>0</v>
      </c>
      <c r="AI192" s="684">
        <v>0</v>
      </c>
      <c r="AJ192" s="684">
        <v>0</v>
      </c>
      <c r="AK192" s="1477" t="s">
        <v>19</v>
      </c>
      <c r="AL192" s="1477"/>
      <c r="AM192" s="1467">
        <v>65.5</v>
      </c>
      <c r="AN192" s="1468"/>
      <c r="AO192" s="707">
        <v>0</v>
      </c>
      <c r="AP192" s="1483" t="s">
        <v>998</v>
      </c>
      <c r="AQ192" s="1484"/>
      <c r="AR192" s="1484"/>
      <c r="AS192" s="1096"/>
      <c r="AT192" s="1305"/>
      <c r="AW192" s="9"/>
      <c r="AX192" s="220"/>
      <c r="AY192" s="1347" t="s">
        <v>1306</v>
      </c>
      <c r="AZ192" s="1348"/>
      <c r="BA192" s="1348"/>
      <c r="BB192" s="1349"/>
      <c r="BC192" s="1350"/>
      <c r="BD192" s="1351"/>
      <c r="BE192" s="826"/>
      <c r="BF192" s="826"/>
      <c r="BG192" s="9"/>
      <c r="BH192" s="9"/>
      <c r="BI192" s="9"/>
    </row>
    <row r="193" spans="1:61" ht="15.6" hidden="1" customHeight="1" x14ac:dyDescent="0.25">
      <c r="A193" s="636"/>
      <c r="B193" s="1531"/>
      <c r="C193" s="431" t="s">
        <v>153</v>
      </c>
      <c r="D193" s="687"/>
      <c r="E193" s="687"/>
      <c r="F193" s="687"/>
      <c r="G193" s="686">
        <v>11</v>
      </c>
      <c r="H193" s="1085">
        <v>14</v>
      </c>
      <c r="I193" s="1477">
        <v>240</v>
      </c>
      <c r="J193" s="1477"/>
      <c r="K193" s="684">
        <v>0</v>
      </c>
      <c r="L193" s="684">
        <v>0</v>
      </c>
      <c r="M193" s="684">
        <v>0</v>
      </c>
      <c r="N193" s="684">
        <v>0</v>
      </c>
      <c r="O193" s="1477" t="s">
        <v>20</v>
      </c>
      <c r="P193" s="1477"/>
      <c r="Q193" s="1467">
        <v>67.73</v>
      </c>
      <c r="R193" s="1468"/>
      <c r="S193" s="707">
        <v>0</v>
      </c>
      <c r="T193" s="1483" t="s">
        <v>1295</v>
      </c>
      <c r="U193" s="1484"/>
      <c r="V193" s="1484"/>
      <c r="W193" s="1096"/>
      <c r="X193" s="1513"/>
      <c r="Y193" s="459" t="s">
        <v>153</v>
      </c>
      <c r="Z193" s="687"/>
      <c r="AA193" s="687"/>
      <c r="AB193" s="687"/>
      <c r="AC193" s="686">
        <v>11</v>
      </c>
      <c r="AD193" s="1085">
        <v>14</v>
      </c>
      <c r="AE193" s="1477">
        <v>240</v>
      </c>
      <c r="AF193" s="1477"/>
      <c r="AG193" s="684">
        <v>0</v>
      </c>
      <c r="AH193" s="684">
        <v>0</v>
      </c>
      <c r="AI193" s="684">
        <v>0</v>
      </c>
      <c r="AJ193" s="684">
        <v>0</v>
      </c>
      <c r="AK193" s="1477" t="s">
        <v>20</v>
      </c>
      <c r="AL193" s="1477"/>
      <c r="AM193" s="1467">
        <v>65.63</v>
      </c>
      <c r="AN193" s="1468"/>
      <c r="AO193" s="707">
        <v>0</v>
      </c>
      <c r="AP193" s="1483" t="s">
        <v>1295</v>
      </c>
      <c r="AQ193" s="1484"/>
      <c r="AR193" s="1484"/>
      <c r="AS193" s="1096"/>
      <c r="AT193" s="1305"/>
      <c r="AW193" s="9"/>
      <c r="AX193" s="220"/>
      <c r="AY193" s="748">
        <v>13</v>
      </c>
      <c r="AZ193" s="1352">
        <v>120</v>
      </c>
      <c r="BA193" s="1353">
        <v>0</v>
      </c>
      <c r="BB193" s="1359"/>
      <c r="BC193" s="1524" t="s">
        <v>971</v>
      </c>
      <c r="BD193" s="1525"/>
      <c r="BE193" s="1376">
        <f>Q222</f>
        <v>74</v>
      </c>
      <c r="BF193" s="1376">
        <f>AM222</f>
        <v>67.83</v>
      </c>
      <c r="BG193" s="9"/>
      <c r="BH193" s="9"/>
      <c r="BI193" s="9"/>
    </row>
    <row r="194" spans="1:61" ht="15.6" hidden="1" customHeight="1" x14ac:dyDescent="0.25">
      <c r="A194" s="636"/>
      <c r="B194" s="1531"/>
      <c r="C194" s="431" t="s">
        <v>197</v>
      </c>
      <c r="D194" s="687"/>
      <c r="E194" s="687"/>
      <c r="F194" s="687"/>
      <c r="G194" s="686">
        <v>12</v>
      </c>
      <c r="H194" s="1085">
        <v>1</v>
      </c>
      <c r="I194" s="1477">
        <v>240</v>
      </c>
      <c r="J194" s="1477"/>
      <c r="K194" s="684">
        <v>0</v>
      </c>
      <c r="L194" s="684">
        <v>0</v>
      </c>
      <c r="M194" s="684">
        <v>0</v>
      </c>
      <c r="N194" s="684">
        <v>0</v>
      </c>
      <c r="O194" s="1477" t="s">
        <v>21</v>
      </c>
      <c r="P194" s="1477"/>
      <c r="Q194" s="1467">
        <v>67.92</v>
      </c>
      <c r="R194" s="1468"/>
      <c r="S194" s="707">
        <v>0</v>
      </c>
      <c r="T194" s="706"/>
      <c r="U194" s="786" t="s">
        <v>999</v>
      </c>
      <c r="V194" s="785">
        <v>75.2</v>
      </c>
      <c r="W194" s="1096"/>
      <c r="X194" s="1513"/>
      <c r="Y194" s="459" t="s">
        <v>197</v>
      </c>
      <c r="Z194" s="687"/>
      <c r="AA194" s="687"/>
      <c r="AB194" s="687"/>
      <c r="AC194" s="686">
        <v>12</v>
      </c>
      <c r="AD194" s="1085">
        <v>1</v>
      </c>
      <c r="AE194" s="1477">
        <v>240</v>
      </c>
      <c r="AF194" s="1477"/>
      <c r="AG194" s="684">
        <v>0</v>
      </c>
      <c r="AH194" s="684">
        <v>0</v>
      </c>
      <c r="AI194" s="684">
        <v>0</v>
      </c>
      <c r="AJ194" s="684">
        <v>0</v>
      </c>
      <c r="AK194" s="1477" t="s">
        <v>21</v>
      </c>
      <c r="AL194" s="1477"/>
      <c r="AM194" s="1467">
        <v>65.7</v>
      </c>
      <c r="AN194" s="1468"/>
      <c r="AO194" s="707">
        <v>0</v>
      </c>
      <c r="AP194" s="706"/>
      <c r="AQ194" s="786" t="s">
        <v>999</v>
      </c>
      <c r="AR194" s="785">
        <v>68.400000000000006</v>
      </c>
      <c r="AS194" s="1096"/>
      <c r="AT194" s="1305"/>
      <c r="AW194" s="9"/>
      <c r="AX194" s="220"/>
      <c r="AY194" s="731">
        <v>14</v>
      </c>
      <c r="AZ194" s="1355">
        <v>100</v>
      </c>
      <c r="BA194" s="1355">
        <v>20</v>
      </c>
      <c r="BB194" s="1355"/>
      <c r="BC194" s="1526" t="s">
        <v>447</v>
      </c>
      <c r="BD194" s="1527"/>
      <c r="BE194" s="1376">
        <f>Q223</f>
        <v>75.2</v>
      </c>
      <c r="BF194" s="1376">
        <f>AM223</f>
        <v>68.400000000000006</v>
      </c>
      <c r="BG194" s="9"/>
      <c r="BH194" s="9"/>
      <c r="BI194" s="9"/>
    </row>
    <row r="195" spans="1:61" ht="15.6" hidden="1" customHeight="1" x14ac:dyDescent="0.25">
      <c r="A195" s="636"/>
      <c r="B195" s="1531"/>
      <c r="C195" s="431" t="s">
        <v>219</v>
      </c>
      <c r="D195" s="687"/>
      <c r="E195" s="687"/>
      <c r="F195" s="687"/>
      <c r="G195" s="686">
        <v>13</v>
      </c>
      <c r="H195" s="1085">
        <v>11</v>
      </c>
      <c r="I195" s="1477">
        <v>240</v>
      </c>
      <c r="J195" s="1477"/>
      <c r="K195" s="684">
        <v>0</v>
      </c>
      <c r="L195" s="684">
        <v>0</v>
      </c>
      <c r="M195" s="684">
        <v>0</v>
      </c>
      <c r="N195" s="684">
        <v>0</v>
      </c>
      <c r="O195" s="1477" t="s">
        <v>22</v>
      </c>
      <c r="P195" s="1477"/>
      <c r="Q195" s="1467">
        <v>68.3</v>
      </c>
      <c r="R195" s="1468"/>
      <c r="S195" s="707" t="s">
        <v>32</v>
      </c>
      <c r="T195" s="706"/>
      <c r="U195" s="786" t="s">
        <v>1000</v>
      </c>
      <c r="V195" s="785">
        <v>64.5</v>
      </c>
      <c r="W195" s="1096"/>
      <c r="X195" s="1513"/>
      <c r="Y195" s="459" t="s">
        <v>219</v>
      </c>
      <c r="Z195" s="687"/>
      <c r="AA195" s="687"/>
      <c r="AB195" s="687"/>
      <c r="AC195" s="686">
        <v>13</v>
      </c>
      <c r="AD195" s="1085">
        <v>11</v>
      </c>
      <c r="AE195" s="1477">
        <v>240</v>
      </c>
      <c r="AF195" s="1477"/>
      <c r="AG195" s="684">
        <v>0</v>
      </c>
      <c r="AH195" s="684">
        <v>0</v>
      </c>
      <c r="AI195" s="684">
        <v>0</v>
      </c>
      <c r="AJ195" s="684">
        <v>0</v>
      </c>
      <c r="AK195" s="1477" t="s">
        <v>22</v>
      </c>
      <c r="AL195" s="1477"/>
      <c r="AM195" s="1467">
        <v>65.83</v>
      </c>
      <c r="AN195" s="1468"/>
      <c r="AO195" s="707">
        <v>0</v>
      </c>
      <c r="AP195" s="706"/>
      <c r="AQ195" s="786" t="s">
        <v>1000</v>
      </c>
      <c r="AR195" s="785">
        <v>64.5</v>
      </c>
      <c r="AS195" s="1096"/>
      <c r="AT195" s="1305"/>
      <c r="AW195" s="9"/>
      <c r="AX195" s="220"/>
      <c r="AY195" s="743"/>
      <c r="AZ195" s="1348"/>
      <c r="BA195" s="1348"/>
      <c r="BB195" s="1348"/>
      <c r="BC195" s="1350"/>
      <c r="BD195" s="1360" t="s">
        <v>1307</v>
      </c>
      <c r="BE195" s="826"/>
      <c r="BF195" s="826"/>
      <c r="BG195" s="9"/>
      <c r="BH195" s="9"/>
      <c r="BI195" s="9"/>
    </row>
    <row r="196" spans="1:61" ht="15.6" hidden="1" customHeight="1" x14ac:dyDescent="0.25">
      <c r="A196" s="636"/>
      <c r="B196" s="1531"/>
      <c r="C196" s="431" t="s">
        <v>257</v>
      </c>
      <c r="D196" s="687"/>
      <c r="E196" s="687"/>
      <c r="F196" s="687"/>
      <c r="G196" s="686">
        <v>14</v>
      </c>
      <c r="H196" s="1085">
        <v>12</v>
      </c>
      <c r="I196" s="1477">
        <v>240</v>
      </c>
      <c r="J196" s="1477"/>
      <c r="K196" s="684">
        <v>0</v>
      </c>
      <c r="L196" s="684">
        <v>0</v>
      </c>
      <c r="M196" s="684">
        <v>0</v>
      </c>
      <c r="N196" s="684">
        <v>0</v>
      </c>
      <c r="O196" s="1477" t="s">
        <v>23</v>
      </c>
      <c r="P196" s="1477"/>
      <c r="Q196" s="1467">
        <v>69.25</v>
      </c>
      <c r="R196" s="1468"/>
      <c r="S196" s="707" t="s">
        <v>32</v>
      </c>
      <c r="T196" s="706"/>
      <c r="U196" s="786" t="s">
        <v>1001</v>
      </c>
      <c r="V196" s="787">
        <v>10.700000000000003</v>
      </c>
      <c r="W196" s="1096"/>
      <c r="X196" s="1513"/>
      <c r="Y196" s="459" t="s">
        <v>257</v>
      </c>
      <c r="Z196" s="687"/>
      <c r="AA196" s="687"/>
      <c r="AB196" s="687"/>
      <c r="AC196" s="686">
        <v>14</v>
      </c>
      <c r="AD196" s="1085">
        <v>12</v>
      </c>
      <c r="AE196" s="1477">
        <v>240</v>
      </c>
      <c r="AF196" s="1477"/>
      <c r="AG196" s="684">
        <v>0</v>
      </c>
      <c r="AH196" s="684">
        <v>0</v>
      </c>
      <c r="AI196" s="684">
        <v>0</v>
      </c>
      <c r="AJ196" s="684">
        <v>0</v>
      </c>
      <c r="AK196" s="1477" t="s">
        <v>23</v>
      </c>
      <c r="AL196" s="1477"/>
      <c r="AM196" s="1467">
        <v>66.17</v>
      </c>
      <c r="AN196" s="1468"/>
      <c r="AO196" s="707">
        <v>0</v>
      </c>
      <c r="AP196" s="706"/>
      <c r="AQ196" s="786" t="s">
        <v>1001</v>
      </c>
      <c r="AR196" s="787">
        <v>3.9000000000000057</v>
      </c>
      <c r="AS196" s="1096"/>
      <c r="AT196" s="1305"/>
      <c r="AW196" s="9"/>
      <c r="AX196" s="219"/>
      <c r="BE196" s="1376">
        <f>MAX(BE179:BE194)</f>
        <v>75.2</v>
      </c>
      <c r="BF196" s="1376">
        <f>MAX(BF179:BF194)</f>
        <v>68.400000000000006</v>
      </c>
      <c r="BG196" s="9"/>
      <c r="BH196" s="9"/>
      <c r="BI196" s="9"/>
    </row>
    <row r="197" spans="1:61" ht="15.6" hidden="1" customHeight="1" x14ac:dyDescent="0.25">
      <c r="A197" s="636"/>
      <c r="B197" s="1531"/>
      <c r="C197" s="431" t="s">
        <v>270</v>
      </c>
      <c r="D197" s="687"/>
      <c r="E197" s="687"/>
      <c r="F197" s="687"/>
      <c r="G197" s="686">
        <v>15</v>
      </c>
      <c r="H197" s="1085">
        <v>3</v>
      </c>
      <c r="I197" s="1477">
        <v>240</v>
      </c>
      <c r="J197" s="1477"/>
      <c r="K197" s="684">
        <v>0</v>
      </c>
      <c r="L197" s="684">
        <v>0</v>
      </c>
      <c r="M197" s="684">
        <v>0</v>
      </c>
      <c r="N197" s="684">
        <v>0</v>
      </c>
      <c r="O197" s="1477" t="s">
        <v>24</v>
      </c>
      <c r="P197" s="1477"/>
      <c r="Q197" s="1467">
        <v>70.2</v>
      </c>
      <c r="R197" s="1468"/>
      <c r="S197" s="707">
        <v>0</v>
      </c>
      <c r="T197" s="706"/>
      <c r="U197" s="786" t="s">
        <v>1002</v>
      </c>
      <c r="V197" s="785">
        <v>69.239999999999995</v>
      </c>
      <c r="W197" s="1096"/>
      <c r="X197" s="1513"/>
      <c r="Y197" s="459" t="s">
        <v>270</v>
      </c>
      <c r="Z197" s="687"/>
      <c r="AA197" s="687"/>
      <c r="AB197" s="687"/>
      <c r="AC197" s="686">
        <v>15</v>
      </c>
      <c r="AD197" s="1085">
        <v>3</v>
      </c>
      <c r="AE197" s="1477">
        <v>240</v>
      </c>
      <c r="AF197" s="1477"/>
      <c r="AG197" s="684">
        <v>0</v>
      </c>
      <c r="AH197" s="684">
        <v>0</v>
      </c>
      <c r="AI197" s="684">
        <v>0</v>
      </c>
      <c r="AJ197" s="684">
        <v>0</v>
      </c>
      <c r="AK197" s="1477" t="s">
        <v>24</v>
      </c>
      <c r="AL197" s="1477"/>
      <c r="AM197" s="1467">
        <v>66.5</v>
      </c>
      <c r="AN197" s="1468"/>
      <c r="AO197" s="707">
        <v>0</v>
      </c>
      <c r="AP197" s="706"/>
      <c r="AQ197" s="786" t="s">
        <v>1002</v>
      </c>
      <c r="AR197" s="785">
        <v>66.31</v>
      </c>
      <c r="AS197" s="1096"/>
      <c r="AT197" s="1305"/>
      <c r="AW197" s="9"/>
      <c r="AX197" s="220"/>
      <c r="BE197" s="1376">
        <f>MIN(BE179:BE194)</f>
        <v>64.5</v>
      </c>
      <c r="BF197" s="1376">
        <f>MIN(BF179:BF194)</f>
        <v>64.5</v>
      </c>
      <c r="BG197" s="9"/>
      <c r="BH197" s="9"/>
      <c r="BI197" s="9"/>
    </row>
    <row r="198" spans="1:61" ht="15.6" hidden="1" customHeight="1" x14ac:dyDescent="0.25">
      <c r="A198" s="636"/>
      <c r="B198" s="1531"/>
      <c r="C198" s="431" t="s">
        <v>1052</v>
      </c>
      <c r="D198" s="687"/>
      <c r="E198" s="687"/>
      <c r="F198" s="687"/>
      <c r="G198" s="686">
        <v>17</v>
      </c>
      <c r="H198" s="1085">
        <v>1</v>
      </c>
      <c r="I198" s="1477">
        <v>220</v>
      </c>
      <c r="J198" s="1477"/>
      <c r="K198" s="684">
        <v>0</v>
      </c>
      <c r="L198" s="684">
        <v>0</v>
      </c>
      <c r="M198" s="684">
        <v>0</v>
      </c>
      <c r="N198" s="684">
        <v>20</v>
      </c>
      <c r="O198" s="1477" t="s">
        <v>20</v>
      </c>
      <c r="P198" s="1477"/>
      <c r="Q198" s="1467">
        <v>68.53</v>
      </c>
      <c r="R198" s="1468"/>
      <c r="S198" s="707" t="s">
        <v>32</v>
      </c>
      <c r="T198" s="706"/>
      <c r="U198" s="786" t="s">
        <v>1003</v>
      </c>
      <c r="V198" s="785">
        <v>69.25</v>
      </c>
      <c r="W198" s="1096"/>
      <c r="X198" s="1513"/>
      <c r="Y198" s="459" t="s">
        <v>1052</v>
      </c>
      <c r="Z198" s="687"/>
      <c r="AA198" s="687"/>
      <c r="AB198" s="687"/>
      <c r="AC198" s="686">
        <v>17</v>
      </c>
      <c r="AD198" s="1085">
        <v>1</v>
      </c>
      <c r="AE198" s="1477">
        <v>220</v>
      </c>
      <c r="AF198" s="1477"/>
      <c r="AG198" s="684">
        <v>0</v>
      </c>
      <c r="AH198" s="684">
        <v>0</v>
      </c>
      <c r="AI198" s="684">
        <v>0</v>
      </c>
      <c r="AJ198" s="684">
        <v>20</v>
      </c>
      <c r="AK198" s="1477" t="s">
        <v>20</v>
      </c>
      <c r="AL198" s="1477"/>
      <c r="AM198" s="1467">
        <v>66.010000000000005</v>
      </c>
      <c r="AN198" s="1468"/>
      <c r="AO198" s="707">
        <v>0</v>
      </c>
      <c r="AP198" s="706"/>
      <c r="AQ198" s="786" t="s">
        <v>1003</v>
      </c>
      <c r="AR198" s="785">
        <v>66.17</v>
      </c>
      <c r="AS198" s="1096"/>
      <c r="AT198" s="1305"/>
      <c r="AW198" s="9"/>
      <c r="AX198" s="220"/>
      <c r="BE198" s="1376">
        <f>BE196-BE197</f>
        <v>10.700000000000003</v>
      </c>
      <c r="BF198" s="1376">
        <f>BF196-BF197</f>
        <v>3.9000000000000057</v>
      </c>
      <c r="BG198" s="9"/>
      <c r="BH198" s="9"/>
      <c r="BI198" s="9"/>
    </row>
    <row r="199" spans="1:61" ht="15.6" hidden="1" customHeight="1" x14ac:dyDescent="0.25">
      <c r="A199" s="636"/>
      <c r="B199" s="1531"/>
      <c r="C199" s="431" t="s">
        <v>1050</v>
      </c>
      <c r="D199" s="687"/>
      <c r="E199" s="687"/>
      <c r="F199" s="687"/>
      <c r="G199" s="686">
        <v>18</v>
      </c>
      <c r="H199" s="1085">
        <v>1</v>
      </c>
      <c r="I199" s="1477">
        <v>210</v>
      </c>
      <c r="J199" s="1477"/>
      <c r="K199" s="684">
        <v>0</v>
      </c>
      <c r="L199" s="684">
        <v>0</v>
      </c>
      <c r="M199" s="684">
        <v>0</v>
      </c>
      <c r="N199" s="684">
        <v>30</v>
      </c>
      <c r="O199" s="1477" t="s">
        <v>16</v>
      </c>
      <c r="P199" s="1477"/>
      <c r="Q199" s="1467">
        <v>74.78</v>
      </c>
      <c r="R199" s="1468"/>
      <c r="S199" s="707">
        <v>0</v>
      </c>
      <c r="T199" s="1481" t="s">
        <v>1005</v>
      </c>
      <c r="U199" s="1482"/>
      <c r="V199" s="40">
        <v>12</v>
      </c>
      <c r="W199" s="1096"/>
      <c r="X199" s="1513"/>
      <c r="Y199" s="459" t="s">
        <v>1050</v>
      </c>
      <c r="Z199" s="687"/>
      <c r="AA199" s="687"/>
      <c r="AB199" s="687"/>
      <c r="AC199" s="686">
        <v>18</v>
      </c>
      <c r="AD199" s="1085">
        <v>1</v>
      </c>
      <c r="AE199" s="1477">
        <v>210</v>
      </c>
      <c r="AF199" s="1477"/>
      <c r="AG199" s="684">
        <v>0</v>
      </c>
      <c r="AH199" s="684">
        <v>0</v>
      </c>
      <c r="AI199" s="684">
        <v>0</v>
      </c>
      <c r="AJ199" s="684">
        <v>30</v>
      </c>
      <c r="AK199" s="1477" t="s">
        <v>16</v>
      </c>
      <c r="AL199" s="1477"/>
      <c r="AM199" s="1467">
        <v>68.25</v>
      </c>
      <c r="AN199" s="1468"/>
      <c r="AO199" s="707" t="s">
        <v>32</v>
      </c>
      <c r="AP199" s="1481" t="s">
        <v>1005</v>
      </c>
      <c r="AQ199" s="1482"/>
      <c r="AR199" s="40">
        <v>2</v>
      </c>
      <c r="AS199" s="1096"/>
      <c r="AT199" s="1305"/>
      <c r="AW199" s="9"/>
      <c r="AX199" s="220"/>
      <c r="AY199" s="538"/>
      <c r="AZ199" s="1370"/>
      <c r="BA199" s="1369"/>
      <c r="BB199" s="219"/>
      <c r="BC199" s="538"/>
      <c r="BD199" s="538"/>
      <c r="BE199" s="538"/>
      <c r="BF199" s="9"/>
      <c r="BG199" s="9"/>
      <c r="BH199" s="9"/>
      <c r="BI199" s="9"/>
    </row>
    <row r="200" spans="1:61" ht="15.6" hidden="1" customHeight="1" x14ac:dyDescent="0.25">
      <c r="A200" s="636"/>
      <c r="B200" s="1531"/>
      <c r="C200" s="431" t="s">
        <v>141</v>
      </c>
      <c r="D200" s="687"/>
      <c r="E200" s="687"/>
      <c r="F200" s="687"/>
      <c r="G200" s="685">
        <v>19</v>
      </c>
      <c r="H200" s="1084">
        <v>1</v>
      </c>
      <c r="I200" s="1477">
        <v>240</v>
      </c>
      <c r="J200" s="1477"/>
      <c r="K200" s="684">
        <v>0</v>
      </c>
      <c r="L200" s="684">
        <v>0</v>
      </c>
      <c r="M200" s="684">
        <v>30</v>
      </c>
      <c r="N200" s="684">
        <v>30</v>
      </c>
      <c r="O200" s="1466" t="s">
        <v>1128</v>
      </c>
      <c r="P200" s="1466"/>
      <c r="Q200" s="1467">
        <v>69.239999999999995</v>
      </c>
      <c r="R200" s="1468"/>
      <c r="S200" s="707" t="s">
        <v>32</v>
      </c>
      <c r="T200" s="706"/>
      <c r="U200" s="706"/>
      <c r="V200" s="706"/>
      <c r="W200" s="1096"/>
      <c r="X200" s="1513"/>
      <c r="Y200" s="459" t="s">
        <v>141</v>
      </c>
      <c r="Z200" s="687"/>
      <c r="AA200" s="687"/>
      <c r="AB200" s="687"/>
      <c r="AC200" s="685">
        <v>19</v>
      </c>
      <c r="AD200" s="1084">
        <v>1</v>
      </c>
      <c r="AE200" s="1477">
        <v>240</v>
      </c>
      <c r="AF200" s="1477"/>
      <c r="AG200" s="684">
        <v>0</v>
      </c>
      <c r="AH200" s="684">
        <v>0</v>
      </c>
      <c r="AI200" s="684">
        <v>30</v>
      </c>
      <c r="AJ200" s="684">
        <v>30</v>
      </c>
      <c r="AK200" s="1466" t="s">
        <v>1128</v>
      </c>
      <c r="AL200" s="1466"/>
      <c r="AM200" s="1467">
        <v>66.709999999999994</v>
      </c>
      <c r="AN200" s="1468"/>
      <c r="AO200" s="707">
        <v>0</v>
      </c>
      <c r="AP200" s="706"/>
      <c r="AQ200" s="706"/>
      <c r="AR200" s="706"/>
      <c r="AS200" s="1096"/>
      <c r="AT200" s="1305"/>
      <c r="AW200" s="9"/>
      <c r="AX200" s="9"/>
      <c r="AY200" s="1367"/>
      <c r="AZ200" s="1370"/>
      <c r="BA200" s="1369"/>
      <c r="BB200" s="219"/>
      <c r="BC200" s="219"/>
      <c r="BD200" s="1535"/>
      <c r="BE200" s="1535"/>
      <c r="BF200" s="9"/>
      <c r="BG200" s="9"/>
      <c r="BH200" s="9"/>
      <c r="BI200" s="9"/>
    </row>
    <row r="201" spans="1:61" ht="15.6" hidden="1" customHeight="1" x14ac:dyDescent="0.25">
      <c r="A201" s="636"/>
      <c r="B201" s="1531"/>
      <c r="C201" s="431" t="s">
        <v>295</v>
      </c>
      <c r="D201" s="687"/>
      <c r="E201" s="687"/>
      <c r="F201" s="687"/>
      <c r="G201" s="686">
        <v>20</v>
      </c>
      <c r="H201" s="1085">
        <v>1</v>
      </c>
      <c r="I201" s="1477">
        <v>210</v>
      </c>
      <c r="J201" s="1477"/>
      <c r="K201" s="684">
        <v>0</v>
      </c>
      <c r="L201" s="684">
        <v>15</v>
      </c>
      <c r="M201" s="684">
        <v>15</v>
      </c>
      <c r="N201" s="684">
        <v>30</v>
      </c>
      <c r="O201" s="1477" t="s">
        <v>23</v>
      </c>
      <c r="P201" s="1477"/>
      <c r="Q201" s="1467">
        <v>70.430000000000007</v>
      </c>
      <c r="R201" s="1468"/>
      <c r="S201" s="707">
        <v>0</v>
      </c>
      <c r="T201" s="706"/>
      <c r="U201" s="706"/>
      <c r="V201" s="706"/>
      <c r="W201" s="1096"/>
      <c r="X201" s="1513"/>
      <c r="Y201" s="459" t="s">
        <v>295</v>
      </c>
      <c r="Z201" s="687"/>
      <c r="AA201" s="687"/>
      <c r="AB201" s="687"/>
      <c r="AC201" s="686">
        <v>20</v>
      </c>
      <c r="AD201" s="1085">
        <v>1</v>
      </c>
      <c r="AE201" s="1477">
        <v>210</v>
      </c>
      <c r="AF201" s="1477"/>
      <c r="AG201" s="684">
        <v>0</v>
      </c>
      <c r="AH201" s="684">
        <v>15</v>
      </c>
      <c r="AI201" s="684">
        <v>15</v>
      </c>
      <c r="AJ201" s="684">
        <v>30</v>
      </c>
      <c r="AK201" s="1477" t="s">
        <v>23</v>
      </c>
      <c r="AL201" s="1477"/>
      <c r="AM201" s="1467">
        <v>66.87</v>
      </c>
      <c r="AN201" s="1468"/>
      <c r="AO201" s="707">
        <v>0</v>
      </c>
      <c r="AP201" s="706"/>
      <c r="AQ201" s="706"/>
      <c r="AR201" s="706"/>
      <c r="AS201" s="1096"/>
      <c r="AT201" s="1305"/>
      <c r="AW201" s="9"/>
      <c r="AX201" s="9"/>
      <c r="AY201" s="1368"/>
      <c r="AZ201" s="1370"/>
      <c r="BA201" s="1373"/>
      <c r="BB201" s="219"/>
      <c r="BC201" s="50"/>
      <c r="BD201" s="1121"/>
      <c r="BE201" s="1121"/>
      <c r="BF201" s="9"/>
      <c r="BG201" s="9"/>
      <c r="BH201" s="9"/>
      <c r="BI201" s="9"/>
    </row>
    <row r="202" spans="1:61" ht="15.6" hidden="1" customHeight="1" x14ac:dyDescent="0.25">
      <c r="A202" s="636"/>
      <c r="B202" s="1531"/>
      <c r="C202" s="431" t="s">
        <v>299</v>
      </c>
      <c r="D202" s="687"/>
      <c r="E202" s="687"/>
      <c r="F202" s="687"/>
      <c r="G202" s="686">
        <v>21</v>
      </c>
      <c r="H202" s="1085">
        <v>1</v>
      </c>
      <c r="I202" s="1477">
        <v>210</v>
      </c>
      <c r="J202" s="1477"/>
      <c r="K202" s="684">
        <v>0</v>
      </c>
      <c r="L202" s="684">
        <v>0</v>
      </c>
      <c r="M202" s="684">
        <v>30</v>
      </c>
      <c r="N202" s="684">
        <v>30</v>
      </c>
      <c r="O202" s="1477" t="s">
        <v>24</v>
      </c>
      <c r="P202" s="1477"/>
      <c r="Q202" s="1467">
        <v>71.87</v>
      </c>
      <c r="R202" s="1468"/>
      <c r="S202" s="707">
        <v>0</v>
      </c>
      <c r="T202" s="706"/>
      <c r="U202" s="706"/>
      <c r="V202" s="706"/>
      <c r="W202" s="1096"/>
      <c r="X202" s="1513"/>
      <c r="Y202" s="459" t="s">
        <v>299</v>
      </c>
      <c r="Z202" s="687"/>
      <c r="AA202" s="687"/>
      <c r="AB202" s="687"/>
      <c r="AC202" s="686">
        <v>21</v>
      </c>
      <c r="AD202" s="1085">
        <v>1</v>
      </c>
      <c r="AE202" s="1477">
        <v>210</v>
      </c>
      <c r="AF202" s="1477"/>
      <c r="AG202" s="684">
        <v>0</v>
      </c>
      <c r="AH202" s="684">
        <v>0</v>
      </c>
      <c r="AI202" s="684">
        <v>30</v>
      </c>
      <c r="AJ202" s="684">
        <v>30</v>
      </c>
      <c r="AK202" s="1477" t="s">
        <v>24</v>
      </c>
      <c r="AL202" s="1477"/>
      <c r="AM202" s="1467">
        <v>67.489999999999995</v>
      </c>
      <c r="AN202" s="1468"/>
      <c r="AO202" s="707">
        <v>0</v>
      </c>
      <c r="AP202" s="706"/>
      <c r="AQ202" s="706"/>
      <c r="AR202" s="706"/>
      <c r="AS202" s="1096"/>
      <c r="AT202" s="1305"/>
      <c r="AW202" s="9"/>
      <c r="AX202" s="9"/>
      <c r="AY202" s="1369"/>
      <c r="AZ202" s="1369"/>
      <c r="BA202" s="1373"/>
      <c r="BB202" s="219"/>
      <c r="BC202" s="219"/>
      <c r="BD202" s="1193"/>
      <c r="BE202" s="1193"/>
      <c r="BF202" s="9"/>
      <c r="BG202" s="9"/>
      <c r="BH202" s="9"/>
      <c r="BI202" s="9"/>
    </row>
    <row r="203" spans="1:61" ht="15.6" hidden="1" customHeight="1" x14ac:dyDescent="0.25">
      <c r="A203" s="636"/>
      <c r="B203" s="1531"/>
      <c r="C203" s="431" t="s">
        <v>302</v>
      </c>
      <c r="D203" s="687"/>
      <c r="E203" s="687"/>
      <c r="F203" s="687"/>
      <c r="G203" s="686">
        <v>21</v>
      </c>
      <c r="H203" s="1085">
        <v>1</v>
      </c>
      <c r="I203" s="1477">
        <v>210</v>
      </c>
      <c r="J203" s="1477"/>
      <c r="K203" s="684">
        <v>0</v>
      </c>
      <c r="L203" s="684">
        <v>15</v>
      </c>
      <c r="M203" s="684">
        <v>15</v>
      </c>
      <c r="N203" s="684">
        <v>30</v>
      </c>
      <c r="O203" s="1477" t="s">
        <v>24</v>
      </c>
      <c r="P203" s="1477"/>
      <c r="Q203" s="1467">
        <v>71.31</v>
      </c>
      <c r="R203" s="1468"/>
      <c r="S203" s="707">
        <v>0</v>
      </c>
      <c r="T203" s="706"/>
      <c r="U203" s="706"/>
      <c r="V203" s="706"/>
      <c r="W203" s="1096"/>
      <c r="X203" s="1513"/>
      <c r="Y203" s="459" t="s">
        <v>302</v>
      </c>
      <c r="Z203" s="687"/>
      <c r="AA203" s="687"/>
      <c r="AB203" s="687"/>
      <c r="AC203" s="686">
        <v>21</v>
      </c>
      <c r="AD203" s="1085">
        <v>1</v>
      </c>
      <c r="AE203" s="1477">
        <v>210</v>
      </c>
      <c r="AF203" s="1477"/>
      <c r="AG203" s="684">
        <v>0</v>
      </c>
      <c r="AH203" s="684">
        <v>15</v>
      </c>
      <c r="AI203" s="684">
        <v>15</v>
      </c>
      <c r="AJ203" s="684">
        <v>30</v>
      </c>
      <c r="AK203" s="1477" t="s">
        <v>24</v>
      </c>
      <c r="AL203" s="1477"/>
      <c r="AM203" s="1467">
        <v>67.14</v>
      </c>
      <c r="AN203" s="1468"/>
      <c r="AO203" s="707">
        <v>0</v>
      </c>
      <c r="AP203" s="706"/>
      <c r="AQ203" s="706"/>
      <c r="AR203" s="706"/>
      <c r="AS203" s="1096"/>
      <c r="AT203" s="1305"/>
      <c r="AW203" s="9"/>
      <c r="AX203" s="9"/>
      <c r="AY203" s="1369"/>
      <c r="AZ203" s="1369"/>
      <c r="BA203" s="1373"/>
      <c r="BB203" s="219"/>
      <c r="BC203" s="1372"/>
      <c r="BD203" s="1193"/>
      <c r="BE203" s="1193"/>
      <c r="BF203" s="9"/>
      <c r="BG203" s="9"/>
      <c r="BH203" s="9"/>
      <c r="BI203" s="9"/>
    </row>
    <row r="204" spans="1:61" ht="15.6" hidden="1" customHeight="1" x14ac:dyDescent="0.25">
      <c r="A204" s="636"/>
      <c r="B204" s="1531"/>
      <c r="C204" s="431" t="s">
        <v>306</v>
      </c>
      <c r="D204" s="687"/>
      <c r="E204" s="687"/>
      <c r="F204" s="687"/>
      <c r="G204" s="686">
        <v>22</v>
      </c>
      <c r="H204" s="1085">
        <v>3</v>
      </c>
      <c r="I204" s="1477">
        <v>200</v>
      </c>
      <c r="J204" s="1477"/>
      <c r="K204" s="684">
        <v>0</v>
      </c>
      <c r="L204" s="684">
        <v>20</v>
      </c>
      <c r="M204" s="684">
        <v>20</v>
      </c>
      <c r="N204" s="684">
        <v>40</v>
      </c>
      <c r="O204" s="1477" t="s">
        <v>18</v>
      </c>
      <c r="P204" s="1477"/>
      <c r="Q204" s="1467">
        <v>68.319999999999993</v>
      </c>
      <c r="R204" s="1468"/>
      <c r="S204" s="707" t="s">
        <v>32</v>
      </c>
      <c r="T204" s="132"/>
      <c r="U204" s="801"/>
      <c r="V204" s="801"/>
      <c r="W204" s="348"/>
      <c r="X204" s="1513"/>
      <c r="Y204" s="459" t="s">
        <v>306</v>
      </c>
      <c r="Z204" s="687"/>
      <c r="AA204" s="687"/>
      <c r="AB204" s="687"/>
      <c r="AC204" s="686">
        <v>22</v>
      </c>
      <c r="AD204" s="1085">
        <v>3</v>
      </c>
      <c r="AE204" s="1477">
        <v>200</v>
      </c>
      <c r="AF204" s="1477"/>
      <c r="AG204" s="684">
        <v>0</v>
      </c>
      <c r="AH204" s="684">
        <v>20</v>
      </c>
      <c r="AI204" s="684">
        <v>20</v>
      </c>
      <c r="AJ204" s="684">
        <v>40</v>
      </c>
      <c r="AK204" s="1477" t="s">
        <v>18</v>
      </c>
      <c r="AL204" s="1477"/>
      <c r="AM204" s="1467">
        <v>66.400000000000006</v>
      </c>
      <c r="AN204" s="1468"/>
      <c r="AO204" s="707">
        <v>0</v>
      </c>
      <c r="AP204" s="132"/>
      <c r="AQ204" s="801"/>
      <c r="AR204" s="801"/>
      <c r="AS204" s="348"/>
      <c r="AT204" s="1305"/>
      <c r="AW204" s="9"/>
      <c r="AX204" s="9"/>
      <c r="AY204" s="1369"/>
      <c r="AZ204" s="1369"/>
      <c r="BA204" s="1373"/>
      <c r="BB204" s="219"/>
      <c r="BC204" s="219"/>
      <c r="BD204" s="1193"/>
      <c r="BE204" s="1193"/>
      <c r="BF204" s="9"/>
      <c r="BG204" s="9"/>
      <c r="BH204" s="9"/>
      <c r="BI204" s="9"/>
    </row>
    <row r="205" spans="1:61" ht="15.6" hidden="1" customHeight="1" x14ac:dyDescent="0.25">
      <c r="A205" s="636"/>
      <c r="B205" s="1531"/>
      <c r="C205" s="431" t="s">
        <v>316</v>
      </c>
      <c r="D205" s="687"/>
      <c r="E205" s="687"/>
      <c r="F205" s="687"/>
      <c r="G205" s="686">
        <v>23</v>
      </c>
      <c r="H205" s="1085">
        <v>1</v>
      </c>
      <c r="I205" s="1477">
        <v>200</v>
      </c>
      <c r="J205" s="1477"/>
      <c r="K205" s="684">
        <v>0</v>
      </c>
      <c r="L205" s="684">
        <v>20</v>
      </c>
      <c r="M205" s="684">
        <v>20</v>
      </c>
      <c r="N205" s="684">
        <v>40</v>
      </c>
      <c r="O205" s="1477" t="s">
        <v>19</v>
      </c>
      <c r="P205" s="1477"/>
      <c r="Q205" s="1467">
        <v>69.180000000000007</v>
      </c>
      <c r="R205" s="1468"/>
      <c r="S205" s="707" t="s">
        <v>32</v>
      </c>
      <c r="T205" s="132"/>
      <c r="U205" s="801"/>
      <c r="V205" s="801"/>
      <c r="W205" s="348"/>
      <c r="X205" s="1513"/>
      <c r="Y205" s="459" t="s">
        <v>316</v>
      </c>
      <c r="Z205" s="687"/>
      <c r="AA205" s="687"/>
      <c r="AB205" s="687"/>
      <c r="AC205" s="686">
        <v>23</v>
      </c>
      <c r="AD205" s="1085">
        <v>1</v>
      </c>
      <c r="AE205" s="1477">
        <v>200</v>
      </c>
      <c r="AF205" s="1477"/>
      <c r="AG205" s="684">
        <v>0</v>
      </c>
      <c r="AH205" s="684">
        <v>20</v>
      </c>
      <c r="AI205" s="684">
        <v>20</v>
      </c>
      <c r="AJ205" s="684">
        <v>40</v>
      </c>
      <c r="AK205" s="1477" t="s">
        <v>19</v>
      </c>
      <c r="AL205" s="1477"/>
      <c r="AM205" s="1467">
        <v>66.650000000000006</v>
      </c>
      <c r="AN205" s="1468"/>
      <c r="AO205" s="707">
        <v>0</v>
      </c>
      <c r="AP205" s="132"/>
      <c r="AQ205" s="801"/>
      <c r="AR205" s="801"/>
      <c r="AS205" s="348"/>
      <c r="AT205" s="1305"/>
      <c r="AW205" s="9"/>
      <c r="AX205" s="9"/>
      <c r="AY205" s="1369"/>
      <c r="AZ205" s="1369"/>
      <c r="BA205" s="1373"/>
      <c r="BB205" s="219"/>
      <c r="BC205" s="219"/>
      <c r="BD205" s="1193"/>
      <c r="BE205" s="1193"/>
      <c r="BF205" s="9"/>
      <c r="BG205" s="9"/>
      <c r="BH205" s="9"/>
      <c r="BI205" s="9"/>
    </row>
    <row r="206" spans="1:61" ht="15.6" hidden="1" customHeight="1" x14ac:dyDescent="0.25">
      <c r="A206" s="636"/>
      <c r="B206" s="1531"/>
      <c r="C206" s="431" t="s">
        <v>319</v>
      </c>
      <c r="D206" s="687"/>
      <c r="E206" s="687"/>
      <c r="F206" s="687"/>
      <c r="G206" s="686">
        <v>24</v>
      </c>
      <c r="H206" s="1085">
        <v>3</v>
      </c>
      <c r="I206" s="1477">
        <v>200</v>
      </c>
      <c r="J206" s="1477"/>
      <c r="K206" s="684">
        <v>0</v>
      </c>
      <c r="L206" s="684">
        <v>20</v>
      </c>
      <c r="M206" s="684">
        <v>20</v>
      </c>
      <c r="N206" s="684">
        <v>40</v>
      </c>
      <c r="O206" s="1477" t="s">
        <v>20</v>
      </c>
      <c r="P206" s="1477"/>
      <c r="Q206" s="1467">
        <v>69.52</v>
      </c>
      <c r="R206" s="1468"/>
      <c r="S206" s="707" t="s">
        <v>32</v>
      </c>
      <c r="T206" s="55"/>
      <c r="U206" s="55"/>
      <c r="V206" s="801"/>
      <c r="W206" s="348"/>
      <c r="X206" s="1513"/>
      <c r="Y206" s="459" t="s">
        <v>319</v>
      </c>
      <c r="Z206" s="687"/>
      <c r="AA206" s="687"/>
      <c r="AB206" s="687"/>
      <c r="AC206" s="686">
        <v>24</v>
      </c>
      <c r="AD206" s="1085">
        <v>3</v>
      </c>
      <c r="AE206" s="1477">
        <v>200</v>
      </c>
      <c r="AF206" s="1477"/>
      <c r="AG206" s="684">
        <v>0</v>
      </c>
      <c r="AH206" s="684">
        <v>20</v>
      </c>
      <c r="AI206" s="684">
        <v>20</v>
      </c>
      <c r="AJ206" s="684">
        <v>40</v>
      </c>
      <c r="AK206" s="1477" t="s">
        <v>20</v>
      </c>
      <c r="AL206" s="1477"/>
      <c r="AM206" s="1467">
        <v>66.75</v>
      </c>
      <c r="AN206" s="1468"/>
      <c r="AO206" s="707">
        <v>0</v>
      </c>
      <c r="AP206" s="55"/>
      <c r="AQ206" s="55"/>
      <c r="AR206" s="801"/>
      <c r="AS206" s="348"/>
      <c r="AT206" s="1305"/>
      <c r="AW206" s="9"/>
      <c r="AX206" s="9"/>
      <c r="AY206" s="1369"/>
      <c r="AZ206" s="1369"/>
      <c r="BA206" s="1373"/>
      <c r="BB206" s="219"/>
      <c r="BC206" s="219"/>
      <c r="BD206" s="1193"/>
      <c r="BE206" s="1193"/>
      <c r="BF206" s="9"/>
      <c r="BG206" s="9"/>
      <c r="BH206" s="9"/>
      <c r="BI206" s="9"/>
    </row>
    <row r="207" spans="1:61" ht="15.6" hidden="1" customHeight="1" x14ac:dyDescent="0.25">
      <c r="A207" s="636"/>
      <c r="B207" s="1531"/>
      <c r="C207" s="431" t="s">
        <v>328</v>
      </c>
      <c r="D207" s="687"/>
      <c r="E207" s="687"/>
      <c r="F207" s="687"/>
      <c r="G207" s="686">
        <v>25</v>
      </c>
      <c r="H207" s="1085">
        <v>5</v>
      </c>
      <c r="I207" s="1477">
        <v>200</v>
      </c>
      <c r="J207" s="1477"/>
      <c r="K207" s="684">
        <v>0</v>
      </c>
      <c r="L207" s="684">
        <v>20</v>
      </c>
      <c r="M207" s="684">
        <v>20</v>
      </c>
      <c r="N207" s="684">
        <v>40</v>
      </c>
      <c r="O207" s="1477" t="s">
        <v>22</v>
      </c>
      <c r="P207" s="1477"/>
      <c r="Q207" s="1467">
        <v>70.040000000000006</v>
      </c>
      <c r="R207" s="1468"/>
      <c r="S207" s="707">
        <v>0</v>
      </c>
      <c r="T207" s="706"/>
      <c r="U207" s="706"/>
      <c r="V207" s="801"/>
      <c r="W207" s="348"/>
      <c r="X207" s="1513"/>
      <c r="Y207" s="459" t="s">
        <v>328</v>
      </c>
      <c r="Z207" s="687"/>
      <c r="AA207" s="687"/>
      <c r="AB207" s="687"/>
      <c r="AC207" s="686">
        <v>25</v>
      </c>
      <c r="AD207" s="1085">
        <v>5</v>
      </c>
      <c r="AE207" s="1477">
        <v>200</v>
      </c>
      <c r="AF207" s="1477"/>
      <c r="AG207" s="684">
        <v>0</v>
      </c>
      <c r="AH207" s="684">
        <v>20</v>
      </c>
      <c r="AI207" s="684">
        <v>20</v>
      </c>
      <c r="AJ207" s="684">
        <v>40</v>
      </c>
      <c r="AK207" s="1477" t="s">
        <v>22</v>
      </c>
      <c r="AL207" s="1477"/>
      <c r="AM207" s="1467">
        <v>66.900000000000006</v>
      </c>
      <c r="AN207" s="1468"/>
      <c r="AO207" s="707">
        <v>0</v>
      </c>
      <c r="AP207" s="706"/>
      <c r="AQ207" s="706"/>
      <c r="AR207" s="801"/>
      <c r="AS207" s="348"/>
      <c r="AT207" s="1305"/>
      <c r="AW207" s="9"/>
      <c r="AX207" s="9"/>
      <c r="AY207" s="1369"/>
      <c r="AZ207" s="1369"/>
      <c r="BA207" s="1373"/>
      <c r="BB207" s="219"/>
      <c r="BC207" s="219"/>
      <c r="BD207" s="1193"/>
      <c r="BE207" s="1193"/>
      <c r="BF207" s="9"/>
      <c r="BG207" s="9"/>
      <c r="BH207" s="9"/>
      <c r="BI207" s="9"/>
    </row>
    <row r="208" spans="1:61" ht="15.6" hidden="1" customHeight="1" x14ac:dyDescent="0.25">
      <c r="A208" s="636"/>
      <c r="B208" s="1531"/>
      <c r="C208" s="431" t="s">
        <v>357</v>
      </c>
      <c r="D208" s="687"/>
      <c r="E208" s="687"/>
      <c r="F208" s="687"/>
      <c r="G208" s="686">
        <v>26</v>
      </c>
      <c r="H208" s="1085">
        <v>2</v>
      </c>
      <c r="I208" s="1477">
        <v>200</v>
      </c>
      <c r="J208" s="1477"/>
      <c r="K208" s="684">
        <v>0</v>
      </c>
      <c r="L208" s="684">
        <v>20</v>
      </c>
      <c r="M208" s="684">
        <v>20</v>
      </c>
      <c r="N208" s="684">
        <v>40</v>
      </c>
      <c r="O208" s="1477" t="s">
        <v>23</v>
      </c>
      <c r="P208" s="1477"/>
      <c r="Q208" s="1467">
        <v>72.2</v>
      </c>
      <c r="R208" s="1468"/>
      <c r="S208" s="707">
        <v>0</v>
      </c>
      <c r="T208" s="706"/>
      <c r="U208" s="706"/>
      <c r="V208" s="801"/>
      <c r="W208" s="348"/>
      <c r="X208" s="1513"/>
      <c r="Y208" s="459" t="s">
        <v>357</v>
      </c>
      <c r="Z208" s="687"/>
      <c r="AA208" s="687"/>
      <c r="AB208" s="687"/>
      <c r="AC208" s="686">
        <v>26</v>
      </c>
      <c r="AD208" s="1085">
        <v>2</v>
      </c>
      <c r="AE208" s="1477">
        <v>200</v>
      </c>
      <c r="AF208" s="1477"/>
      <c r="AG208" s="684">
        <v>0</v>
      </c>
      <c r="AH208" s="684">
        <v>20</v>
      </c>
      <c r="AI208" s="684">
        <v>20</v>
      </c>
      <c r="AJ208" s="684">
        <v>40</v>
      </c>
      <c r="AK208" s="1477" t="s">
        <v>23</v>
      </c>
      <c r="AL208" s="1477"/>
      <c r="AM208" s="1467">
        <v>67.400000000000006</v>
      </c>
      <c r="AN208" s="1468"/>
      <c r="AO208" s="707">
        <v>0</v>
      </c>
      <c r="AP208" s="706"/>
      <c r="AQ208" s="706"/>
      <c r="AR208" s="801"/>
      <c r="AS208" s="348"/>
      <c r="AT208" s="1305"/>
      <c r="AW208" s="9"/>
      <c r="AX208" s="9"/>
      <c r="AY208" s="1369"/>
      <c r="AZ208" s="1369"/>
      <c r="BA208" s="1371"/>
      <c r="BB208" s="219"/>
      <c r="BC208" s="219"/>
      <c r="BD208" s="1193"/>
      <c r="BE208" s="1193"/>
      <c r="BF208" s="9"/>
      <c r="BG208" s="9"/>
      <c r="BH208" s="9"/>
      <c r="BI208" s="9"/>
    </row>
    <row r="209" spans="1:61" ht="15.6" hidden="1" customHeight="1" x14ac:dyDescent="0.25">
      <c r="A209" s="636"/>
      <c r="B209" s="1531"/>
      <c r="C209" s="431" t="s">
        <v>345</v>
      </c>
      <c r="D209" s="687"/>
      <c r="E209" s="687"/>
      <c r="F209" s="687"/>
      <c r="G209" s="686">
        <v>26</v>
      </c>
      <c r="H209" s="1085">
        <v>3</v>
      </c>
      <c r="I209" s="1477">
        <v>200</v>
      </c>
      <c r="J209" s="1477"/>
      <c r="K209" s="684"/>
      <c r="L209" s="684">
        <v>20</v>
      </c>
      <c r="M209" s="684">
        <v>20</v>
      </c>
      <c r="N209" s="684">
        <v>40</v>
      </c>
      <c r="O209" s="1477" t="s">
        <v>23</v>
      </c>
      <c r="P209" s="1477"/>
      <c r="Q209" s="1468">
        <v>70.900000000000006</v>
      </c>
      <c r="R209" s="1478"/>
      <c r="S209" s="707">
        <v>0</v>
      </c>
      <c r="T209" s="706"/>
      <c r="U209" s="706"/>
      <c r="V209" s="801"/>
      <c r="W209" s="348"/>
      <c r="X209" s="1513"/>
      <c r="Y209" s="459" t="s">
        <v>345</v>
      </c>
      <c r="Z209" s="687"/>
      <c r="AA209" s="687"/>
      <c r="AB209" s="687"/>
      <c r="AC209" s="686">
        <v>26</v>
      </c>
      <c r="AD209" s="1085">
        <v>3</v>
      </c>
      <c r="AE209" s="1477">
        <v>200</v>
      </c>
      <c r="AF209" s="1477"/>
      <c r="AG209" s="684"/>
      <c r="AH209" s="684">
        <v>20</v>
      </c>
      <c r="AI209" s="684">
        <v>20</v>
      </c>
      <c r="AJ209" s="684">
        <v>40</v>
      </c>
      <c r="AK209" s="1477" t="s">
        <v>23</v>
      </c>
      <c r="AL209" s="1477"/>
      <c r="AM209" s="1468">
        <v>67.150000000000006</v>
      </c>
      <c r="AN209" s="1478"/>
      <c r="AO209" s="707">
        <v>0</v>
      </c>
      <c r="AP209" s="706"/>
      <c r="AQ209" s="706"/>
      <c r="AR209" s="801"/>
      <c r="AS209" s="348"/>
      <c r="AT209" s="1305"/>
      <c r="AW209" s="9"/>
      <c r="AX209" s="9"/>
      <c r="AY209" s="1369"/>
      <c r="AZ209" s="1370"/>
      <c r="BA209" s="1373"/>
      <c r="BB209" s="1285"/>
      <c r="BC209" s="219"/>
      <c r="BD209" s="1193"/>
      <c r="BE209" s="1193"/>
      <c r="BF209" s="9"/>
      <c r="BG209" s="9"/>
      <c r="BH209" s="9"/>
      <c r="BI209" s="9"/>
    </row>
    <row r="210" spans="1:61" ht="15.6" hidden="1" customHeight="1" x14ac:dyDescent="0.25">
      <c r="A210" s="636"/>
      <c r="B210" s="1531"/>
      <c r="C210" s="431" t="s">
        <v>359</v>
      </c>
      <c r="D210" s="687"/>
      <c r="E210" s="687"/>
      <c r="F210" s="687"/>
      <c r="G210" s="686">
        <v>27</v>
      </c>
      <c r="H210" s="1085">
        <v>3</v>
      </c>
      <c r="I210" s="1477">
        <v>200</v>
      </c>
      <c r="J210" s="1477"/>
      <c r="K210" s="684">
        <v>0</v>
      </c>
      <c r="L210" s="684">
        <v>20</v>
      </c>
      <c r="M210" s="684">
        <v>20</v>
      </c>
      <c r="N210" s="684">
        <v>40</v>
      </c>
      <c r="O210" s="1477" t="s">
        <v>24</v>
      </c>
      <c r="P210" s="1477"/>
      <c r="Q210" s="1467">
        <v>71.760000000000005</v>
      </c>
      <c r="R210" s="1468"/>
      <c r="S210" s="707">
        <v>0</v>
      </c>
      <c r="T210" s="706"/>
      <c r="U210" s="706"/>
      <c r="V210" s="801"/>
      <c r="W210" s="348"/>
      <c r="X210" s="1513"/>
      <c r="Y210" s="459" t="s">
        <v>359</v>
      </c>
      <c r="Z210" s="687"/>
      <c r="AA210" s="687"/>
      <c r="AB210" s="687"/>
      <c r="AC210" s="686">
        <v>27</v>
      </c>
      <c r="AD210" s="1085">
        <v>3</v>
      </c>
      <c r="AE210" s="1477">
        <v>200</v>
      </c>
      <c r="AF210" s="1477"/>
      <c r="AG210" s="684">
        <v>0</v>
      </c>
      <c r="AH210" s="684">
        <v>20</v>
      </c>
      <c r="AI210" s="684">
        <v>20</v>
      </c>
      <c r="AJ210" s="684">
        <v>40</v>
      </c>
      <c r="AK210" s="1477" t="s">
        <v>24</v>
      </c>
      <c r="AL210" s="1477"/>
      <c r="AM210" s="1467">
        <v>67.400000000000006</v>
      </c>
      <c r="AN210" s="1468"/>
      <c r="AO210" s="707">
        <v>0</v>
      </c>
      <c r="AP210" s="706"/>
      <c r="AQ210" s="706"/>
      <c r="AR210" s="801"/>
      <c r="AS210" s="348"/>
      <c r="AT210" s="1305"/>
      <c r="AW210" s="9"/>
      <c r="AX210" s="9"/>
      <c r="AY210" s="1369"/>
      <c r="AZ210" s="1369"/>
      <c r="BA210" s="1369"/>
      <c r="BB210" s="1285"/>
      <c r="BC210" s="219"/>
      <c r="BD210" s="1193"/>
      <c r="BE210" s="1193"/>
      <c r="BF210" s="9"/>
      <c r="BG210" s="9"/>
      <c r="BH210" s="9"/>
      <c r="BI210" s="9"/>
    </row>
    <row r="211" spans="1:61" ht="15.6" hidden="1" customHeight="1" x14ac:dyDescent="0.25">
      <c r="A211" s="636"/>
      <c r="B211" s="1531"/>
      <c r="C211" s="431" t="s">
        <v>368</v>
      </c>
      <c r="D211" s="687"/>
      <c r="E211" s="687"/>
      <c r="F211" s="687"/>
      <c r="G211" s="686">
        <v>28</v>
      </c>
      <c r="H211" s="1085">
        <v>1</v>
      </c>
      <c r="I211" s="1477">
        <v>180</v>
      </c>
      <c r="J211" s="1477"/>
      <c r="K211" s="684">
        <v>0</v>
      </c>
      <c r="L211" s="684">
        <v>45</v>
      </c>
      <c r="M211" s="684">
        <v>15</v>
      </c>
      <c r="N211" s="684">
        <v>60</v>
      </c>
      <c r="O211" s="1477" t="s">
        <v>16</v>
      </c>
      <c r="P211" s="1477"/>
      <c r="Q211" s="1467">
        <v>68.7</v>
      </c>
      <c r="R211" s="1468"/>
      <c r="S211" s="707" t="s">
        <v>32</v>
      </c>
      <c r="T211" s="706"/>
      <c r="U211" s="706"/>
      <c r="V211" s="801"/>
      <c r="W211" s="348"/>
      <c r="X211" s="1513"/>
      <c r="Y211" s="459" t="s">
        <v>368</v>
      </c>
      <c r="Z211" s="687"/>
      <c r="AA211" s="687"/>
      <c r="AB211" s="687"/>
      <c r="AC211" s="686">
        <v>28</v>
      </c>
      <c r="AD211" s="1085">
        <v>1</v>
      </c>
      <c r="AE211" s="1477">
        <v>180</v>
      </c>
      <c r="AF211" s="1477"/>
      <c r="AG211" s="684">
        <v>0</v>
      </c>
      <c r="AH211" s="684">
        <v>45</v>
      </c>
      <c r="AI211" s="684">
        <v>15</v>
      </c>
      <c r="AJ211" s="684">
        <v>60</v>
      </c>
      <c r="AK211" s="1477" t="s">
        <v>16</v>
      </c>
      <c r="AL211" s="1477"/>
      <c r="AM211" s="1467">
        <v>66.349999999999994</v>
      </c>
      <c r="AN211" s="1468"/>
      <c r="AO211" s="707">
        <v>0</v>
      </c>
      <c r="AP211" s="706"/>
      <c r="AQ211" s="706"/>
      <c r="AR211" s="801"/>
      <c r="AS211" s="348"/>
      <c r="AT211" s="1305"/>
      <c r="AW211" s="9"/>
      <c r="AX211" s="9"/>
      <c r="AY211" s="1369"/>
      <c r="AZ211" s="1369"/>
      <c r="BA211" s="1369"/>
      <c r="BB211" s="219"/>
      <c r="BC211" s="219"/>
      <c r="BD211" s="1193"/>
      <c r="BE211" s="1193"/>
      <c r="BF211" s="9"/>
      <c r="BG211" s="9"/>
      <c r="BH211" s="9"/>
      <c r="BI211" s="9"/>
    </row>
    <row r="212" spans="1:61" ht="15.6" hidden="1" customHeight="1" x14ac:dyDescent="0.25">
      <c r="A212" s="636"/>
      <c r="B212" s="1531"/>
      <c r="C212" s="431" t="s">
        <v>371</v>
      </c>
      <c r="D212" s="687"/>
      <c r="E212" s="687"/>
      <c r="F212" s="687"/>
      <c r="G212" s="686">
        <v>28</v>
      </c>
      <c r="H212" s="1085">
        <v>1</v>
      </c>
      <c r="I212" s="1477">
        <v>180</v>
      </c>
      <c r="J212" s="1477"/>
      <c r="K212" s="684">
        <v>0</v>
      </c>
      <c r="L212" s="684">
        <v>40</v>
      </c>
      <c r="M212" s="684">
        <v>20</v>
      </c>
      <c r="N212" s="684">
        <v>60</v>
      </c>
      <c r="O212" s="1477" t="s">
        <v>16</v>
      </c>
      <c r="P212" s="1477"/>
      <c r="Q212" s="1467">
        <v>68.599999999999994</v>
      </c>
      <c r="R212" s="1468"/>
      <c r="S212" s="707" t="s">
        <v>32</v>
      </c>
      <c r="T212" s="1479" t="s">
        <v>1004</v>
      </c>
      <c r="U212" s="1395"/>
      <c r="V212" s="1395"/>
      <c r="W212" s="1480"/>
      <c r="X212" s="1513"/>
      <c r="Y212" s="459" t="s">
        <v>371</v>
      </c>
      <c r="Z212" s="687"/>
      <c r="AA212" s="687"/>
      <c r="AB212" s="687"/>
      <c r="AC212" s="686">
        <v>28</v>
      </c>
      <c r="AD212" s="1085">
        <v>1</v>
      </c>
      <c r="AE212" s="1477">
        <v>180</v>
      </c>
      <c r="AF212" s="1477"/>
      <c r="AG212" s="684">
        <v>0</v>
      </c>
      <c r="AH212" s="684">
        <v>40</v>
      </c>
      <c r="AI212" s="684">
        <v>20</v>
      </c>
      <c r="AJ212" s="684">
        <v>60</v>
      </c>
      <c r="AK212" s="1477" t="s">
        <v>16</v>
      </c>
      <c r="AL212" s="1477"/>
      <c r="AM212" s="1467">
        <v>66.33</v>
      </c>
      <c r="AN212" s="1468"/>
      <c r="AO212" s="707">
        <v>0</v>
      </c>
      <c r="AP212" s="1479" t="s">
        <v>1004</v>
      </c>
      <c r="AQ212" s="1395"/>
      <c r="AR212" s="1395"/>
      <c r="AS212" s="1480"/>
      <c r="AT212" s="1305"/>
      <c r="AW212" s="9"/>
      <c r="AX212" s="9"/>
      <c r="AY212" s="1369"/>
      <c r="AZ212" s="9"/>
      <c r="BA212" s="9"/>
      <c r="BB212" s="9"/>
      <c r="BC212" s="219"/>
      <c r="BD212" s="1193"/>
      <c r="BE212" s="1193"/>
      <c r="BF212" s="9"/>
      <c r="BG212" s="9"/>
      <c r="BH212" s="9"/>
      <c r="BI212" s="9"/>
    </row>
    <row r="213" spans="1:61" ht="15.6" hidden="1" customHeight="1" x14ac:dyDescent="0.25">
      <c r="A213" s="636"/>
      <c r="B213" s="1531"/>
      <c r="C213" s="431" t="s">
        <v>375</v>
      </c>
      <c r="D213" s="687"/>
      <c r="E213" s="687"/>
      <c r="F213" s="687"/>
      <c r="G213" s="686">
        <v>28</v>
      </c>
      <c r="H213" s="1085">
        <v>1</v>
      </c>
      <c r="I213" s="1477">
        <v>180</v>
      </c>
      <c r="J213" s="1477"/>
      <c r="K213" s="684">
        <v>0</v>
      </c>
      <c r="L213" s="684">
        <v>30</v>
      </c>
      <c r="M213" s="684">
        <v>30</v>
      </c>
      <c r="N213" s="684">
        <v>60</v>
      </c>
      <c r="O213" s="1477" t="s">
        <v>16</v>
      </c>
      <c r="P213" s="1477"/>
      <c r="Q213" s="1467">
        <v>67.67</v>
      </c>
      <c r="R213" s="1468"/>
      <c r="S213" s="707">
        <v>0</v>
      </c>
      <c r="T213" s="1479"/>
      <c r="U213" s="1395"/>
      <c r="V213" s="1395"/>
      <c r="W213" s="1480"/>
      <c r="X213" s="1513"/>
      <c r="Y213" s="459" t="s">
        <v>375</v>
      </c>
      <c r="Z213" s="687"/>
      <c r="AA213" s="687"/>
      <c r="AB213" s="687"/>
      <c r="AC213" s="686">
        <v>28</v>
      </c>
      <c r="AD213" s="1085">
        <v>1</v>
      </c>
      <c r="AE213" s="1477">
        <v>180</v>
      </c>
      <c r="AF213" s="1477"/>
      <c r="AG213" s="684">
        <v>0</v>
      </c>
      <c r="AH213" s="684">
        <v>30</v>
      </c>
      <c r="AI213" s="684">
        <v>30</v>
      </c>
      <c r="AJ213" s="684">
        <v>60</v>
      </c>
      <c r="AK213" s="1477" t="s">
        <v>16</v>
      </c>
      <c r="AL213" s="1477"/>
      <c r="AM213" s="1467">
        <v>66.22</v>
      </c>
      <c r="AN213" s="1468"/>
      <c r="AO213" s="707">
        <v>0</v>
      </c>
      <c r="AP213" s="1479"/>
      <c r="AQ213" s="1395"/>
      <c r="AR213" s="1395"/>
      <c r="AS213" s="1480"/>
      <c r="AT213" s="1305"/>
      <c r="AW213" s="9"/>
      <c r="AX213" s="9"/>
      <c r="AY213" s="1369"/>
      <c r="AZ213" s="9"/>
      <c r="BA213" s="9"/>
      <c r="BB213" s="9"/>
      <c r="BC213" s="1372"/>
      <c r="BD213" s="1193"/>
      <c r="BE213" s="1121"/>
      <c r="BF213" s="9"/>
      <c r="BG213" s="9"/>
      <c r="BH213" s="9"/>
      <c r="BI213" s="9"/>
    </row>
    <row r="214" spans="1:61" ht="15.6" hidden="1" customHeight="1" x14ac:dyDescent="0.25">
      <c r="A214" s="636"/>
      <c r="B214" s="1531"/>
      <c r="C214" s="431" t="s">
        <v>378</v>
      </c>
      <c r="D214" s="687"/>
      <c r="E214" s="687"/>
      <c r="F214" s="687"/>
      <c r="G214" s="686">
        <v>28</v>
      </c>
      <c r="H214" s="1085">
        <v>1</v>
      </c>
      <c r="I214" s="1477">
        <v>180</v>
      </c>
      <c r="J214" s="1477"/>
      <c r="K214" s="684">
        <v>0</v>
      </c>
      <c r="L214" s="684">
        <v>60</v>
      </c>
      <c r="M214" s="684">
        <v>0</v>
      </c>
      <c r="N214" s="684">
        <v>60</v>
      </c>
      <c r="O214" s="1477" t="s">
        <v>16</v>
      </c>
      <c r="P214" s="1477"/>
      <c r="Q214" s="1467">
        <v>69.33</v>
      </c>
      <c r="R214" s="1468"/>
      <c r="S214" s="707" t="s">
        <v>32</v>
      </c>
      <c r="T214" s="1479"/>
      <c r="U214" s="1395"/>
      <c r="V214" s="1395"/>
      <c r="W214" s="1480"/>
      <c r="X214" s="1513"/>
      <c r="Y214" s="459" t="s">
        <v>378</v>
      </c>
      <c r="Z214" s="687"/>
      <c r="AA214" s="687"/>
      <c r="AB214" s="687"/>
      <c r="AC214" s="686">
        <v>28</v>
      </c>
      <c r="AD214" s="1085">
        <v>1</v>
      </c>
      <c r="AE214" s="1477">
        <v>180</v>
      </c>
      <c r="AF214" s="1477"/>
      <c r="AG214" s="684">
        <v>0</v>
      </c>
      <c r="AH214" s="684">
        <v>60</v>
      </c>
      <c r="AI214" s="684">
        <v>0</v>
      </c>
      <c r="AJ214" s="684">
        <v>60</v>
      </c>
      <c r="AK214" s="1477" t="s">
        <v>16</v>
      </c>
      <c r="AL214" s="1477"/>
      <c r="AM214" s="1467">
        <v>66.58</v>
      </c>
      <c r="AN214" s="1468"/>
      <c r="AO214" s="707">
        <v>0</v>
      </c>
      <c r="AP214" s="1479"/>
      <c r="AQ214" s="1395"/>
      <c r="AR214" s="1395"/>
      <c r="AS214" s="1480"/>
      <c r="AT214" s="1305"/>
      <c r="AW214" s="9"/>
      <c r="AX214" s="9"/>
      <c r="AY214" s="1369"/>
      <c r="AZ214" s="9"/>
      <c r="BA214" s="9"/>
      <c r="BB214" s="9"/>
      <c r="BC214" s="1285"/>
      <c r="BD214" s="1193"/>
      <c r="BE214" s="1193"/>
      <c r="BF214" s="9"/>
      <c r="BG214" s="9"/>
      <c r="BH214" s="9"/>
      <c r="BI214" s="9"/>
    </row>
    <row r="215" spans="1:61" ht="15.6" hidden="1" customHeight="1" x14ac:dyDescent="0.25">
      <c r="A215" s="636"/>
      <c r="B215" s="1531"/>
      <c r="C215" s="431" t="s">
        <v>1053</v>
      </c>
      <c r="D215" s="687"/>
      <c r="E215" s="687"/>
      <c r="F215" s="687"/>
      <c r="G215" s="686">
        <v>28</v>
      </c>
      <c r="H215" s="1085">
        <v>1</v>
      </c>
      <c r="I215" s="1477">
        <v>180</v>
      </c>
      <c r="J215" s="1477"/>
      <c r="K215" s="684">
        <v>0</v>
      </c>
      <c r="L215" s="684">
        <v>0</v>
      </c>
      <c r="M215" s="684">
        <v>0</v>
      </c>
      <c r="N215" s="684">
        <v>60</v>
      </c>
      <c r="O215" s="1477" t="s">
        <v>16</v>
      </c>
      <c r="P215" s="1477"/>
      <c r="Q215" s="1467">
        <v>71.099999999999994</v>
      </c>
      <c r="R215" s="1468"/>
      <c r="S215" s="707">
        <v>0</v>
      </c>
      <c r="T215" s="1479"/>
      <c r="U215" s="1395"/>
      <c r="V215" s="1395"/>
      <c r="W215" s="1480"/>
      <c r="X215" s="1513"/>
      <c r="Y215" s="459" t="s">
        <v>1053</v>
      </c>
      <c r="Z215" s="687"/>
      <c r="AA215" s="687"/>
      <c r="AB215" s="687"/>
      <c r="AC215" s="686">
        <v>28</v>
      </c>
      <c r="AD215" s="1085">
        <v>1</v>
      </c>
      <c r="AE215" s="1477">
        <v>180</v>
      </c>
      <c r="AF215" s="1477"/>
      <c r="AG215" s="684">
        <v>0</v>
      </c>
      <c r="AH215" s="684">
        <v>0</v>
      </c>
      <c r="AI215" s="684">
        <v>0</v>
      </c>
      <c r="AJ215" s="684">
        <v>60</v>
      </c>
      <c r="AK215" s="1477" t="s">
        <v>16</v>
      </c>
      <c r="AL215" s="1477"/>
      <c r="AM215" s="1467">
        <v>67.2</v>
      </c>
      <c r="AN215" s="1468"/>
      <c r="AO215" s="707">
        <v>0</v>
      </c>
      <c r="AP215" s="1479"/>
      <c r="AQ215" s="1395"/>
      <c r="AR215" s="1395"/>
      <c r="AS215" s="1480"/>
      <c r="AT215" s="1305"/>
      <c r="AW215" s="9"/>
      <c r="AX215" s="9"/>
      <c r="AY215" s="1369"/>
      <c r="AZ215" s="9"/>
      <c r="BA215" s="9"/>
      <c r="BB215" s="9"/>
      <c r="BC215" s="1285"/>
      <c r="BD215" s="1193"/>
      <c r="BE215" s="1193"/>
      <c r="BF215" s="9"/>
      <c r="BG215" s="9"/>
      <c r="BH215" s="9"/>
      <c r="BI215" s="9"/>
    </row>
    <row r="216" spans="1:61" ht="15.6" hidden="1" customHeight="1" x14ac:dyDescent="0.25">
      <c r="A216" s="636"/>
      <c r="B216" s="1531"/>
      <c r="C216" s="431" t="s">
        <v>384</v>
      </c>
      <c r="D216" s="687"/>
      <c r="E216" s="687"/>
      <c r="F216" s="687"/>
      <c r="G216" s="686">
        <v>29</v>
      </c>
      <c r="H216" s="1085">
        <v>2</v>
      </c>
      <c r="I216" s="1477">
        <v>180</v>
      </c>
      <c r="J216" s="1477"/>
      <c r="K216" s="684">
        <v>0</v>
      </c>
      <c r="L216" s="684">
        <v>30</v>
      </c>
      <c r="M216" s="684">
        <v>30</v>
      </c>
      <c r="N216" s="684">
        <v>60</v>
      </c>
      <c r="O216" s="1477" t="s">
        <v>23</v>
      </c>
      <c r="P216" s="1477"/>
      <c r="Q216" s="1467">
        <v>71.61</v>
      </c>
      <c r="R216" s="1468"/>
      <c r="S216" s="707">
        <v>0</v>
      </c>
      <c r="T216" s="1479"/>
      <c r="U216" s="1395"/>
      <c r="V216" s="1395"/>
      <c r="W216" s="1480"/>
      <c r="X216" s="1513"/>
      <c r="Y216" s="459" t="s">
        <v>384</v>
      </c>
      <c r="Z216" s="687"/>
      <c r="AA216" s="687"/>
      <c r="AB216" s="687"/>
      <c r="AC216" s="686">
        <v>29</v>
      </c>
      <c r="AD216" s="1085">
        <v>2</v>
      </c>
      <c r="AE216" s="1477">
        <v>180</v>
      </c>
      <c r="AF216" s="1477"/>
      <c r="AG216" s="684">
        <v>0</v>
      </c>
      <c r="AH216" s="684">
        <v>30</v>
      </c>
      <c r="AI216" s="684">
        <v>30</v>
      </c>
      <c r="AJ216" s="684">
        <v>60</v>
      </c>
      <c r="AK216" s="1477" t="s">
        <v>23</v>
      </c>
      <c r="AL216" s="1477"/>
      <c r="AM216" s="1467">
        <v>67.44</v>
      </c>
      <c r="AN216" s="1468"/>
      <c r="AO216" s="707">
        <v>0</v>
      </c>
      <c r="AP216" s="1479"/>
      <c r="AQ216" s="1395"/>
      <c r="AR216" s="1395"/>
      <c r="AS216" s="1480"/>
      <c r="AT216" s="1305"/>
      <c r="AW216" s="9"/>
      <c r="AX216" s="9"/>
      <c r="AY216" s="1369"/>
      <c r="AZ216" s="9"/>
      <c r="BA216" s="9"/>
      <c r="BB216" s="9"/>
      <c r="BC216" s="1374"/>
      <c r="BD216" s="1375"/>
      <c r="BE216" s="1375"/>
      <c r="BF216" s="9"/>
      <c r="BG216" s="9"/>
      <c r="BH216" s="9"/>
      <c r="BI216" s="9"/>
    </row>
    <row r="217" spans="1:61" ht="15.6" hidden="1" customHeight="1" x14ac:dyDescent="0.25">
      <c r="A217" s="636"/>
      <c r="B217" s="1531"/>
      <c r="C217" s="431" t="s">
        <v>392</v>
      </c>
      <c r="D217" s="687"/>
      <c r="E217" s="687"/>
      <c r="F217" s="687"/>
      <c r="G217" s="686">
        <v>30</v>
      </c>
      <c r="H217" s="1085">
        <v>1</v>
      </c>
      <c r="I217" s="1477">
        <v>180</v>
      </c>
      <c r="J217" s="1477"/>
      <c r="K217" s="684">
        <v>0</v>
      </c>
      <c r="L217" s="684">
        <v>30</v>
      </c>
      <c r="M217" s="684">
        <v>30</v>
      </c>
      <c r="N217" s="684">
        <v>60</v>
      </c>
      <c r="O217" s="1477" t="s">
        <v>24</v>
      </c>
      <c r="P217" s="1477"/>
      <c r="Q217" s="1467">
        <v>72.400000000000006</v>
      </c>
      <c r="R217" s="1468"/>
      <c r="S217" s="707">
        <v>0</v>
      </c>
      <c r="T217" s="1479"/>
      <c r="U217" s="1395"/>
      <c r="V217" s="1395"/>
      <c r="W217" s="1480"/>
      <c r="X217" s="1513"/>
      <c r="Y217" s="459" t="s">
        <v>392</v>
      </c>
      <c r="Z217" s="687"/>
      <c r="AA217" s="687"/>
      <c r="AB217" s="687"/>
      <c r="AC217" s="686">
        <v>30</v>
      </c>
      <c r="AD217" s="1085">
        <v>1</v>
      </c>
      <c r="AE217" s="1477">
        <v>180</v>
      </c>
      <c r="AF217" s="1477"/>
      <c r="AG217" s="684">
        <v>0</v>
      </c>
      <c r="AH217" s="684">
        <v>30</v>
      </c>
      <c r="AI217" s="684">
        <v>30</v>
      </c>
      <c r="AJ217" s="684">
        <v>60</v>
      </c>
      <c r="AK217" s="1477" t="s">
        <v>24</v>
      </c>
      <c r="AL217" s="1477"/>
      <c r="AM217" s="1467">
        <v>67.69</v>
      </c>
      <c r="AN217" s="1468"/>
      <c r="AO217" s="707">
        <v>0</v>
      </c>
      <c r="AP217" s="1479"/>
      <c r="AQ217" s="1395"/>
      <c r="AR217" s="1395"/>
      <c r="AS217" s="1480"/>
      <c r="AT217" s="1305"/>
      <c r="AW217" s="9"/>
      <c r="AX217" s="9"/>
      <c r="AY217" s="9"/>
      <c r="AZ217" s="9"/>
      <c r="BA217" s="9"/>
      <c r="BB217" s="9"/>
      <c r="BC217" s="9"/>
      <c r="BD217" s="9"/>
      <c r="BE217" s="9"/>
      <c r="BF217" s="9"/>
      <c r="BG217" s="9"/>
      <c r="BH217" s="9"/>
      <c r="BI217" s="9"/>
    </row>
    <row r="218" spans="1:61" ht="15.6" hidden="1" customHeight="1" x14ac:dyDescent="0.25">
      <c r="A218" s="636"/>
      <c r="B218" s="1531"/>
      <c r="C218" s="704" t="s">
        <v>925</v>
      </c>
      <c r="D218" s="687"/>
      <c r="E218" s="687"/>
      <c r="F218" s="687"/>
      <c r="G218" s="686">
        <v>31</v>
      </c>
      <c r="H218" s="1085">
        <v>1</v>
      </c>
      <c r="I218" s="1477">
        <v>160</v>
      </c>
      <c r="J218" s="1477"/>
      <c r="K218" s="684"/>
      <c r="L218" s="684"/>
      <c r="M218" s="684"/>
      <c r="N218" s="684">
        <v>80</v>
      </c>
      <c r="O218" s="1477" t="s">
        <v>16</v>
      </c>
      <c r="P218" s="1477"/>
      <c r="Q218" s="1467">
        <v>72.25</v>
      </c>
      <c r="R218" s="1468"/>
      <c r="S218" s="707">
        <v>0</v>
      </c>
      <c r="T218" s="1479"/>
      <c r="U218" s="1395"/>
      <c r="V218" s="1395"/>
      <c r="W218" s="1480"/>
      <c r="X218" s="1513"/>
      <c r="Y218" s="1225" t="s">
        <v>925</v>
      </c>
      <c r="Z218" s="687"/>
      <c r="AA218" s="687"/>
      <c r="AB218" s="687"/>
      <c r="AC218" s="686">
        <v>31</v>
      </c>
      <c r="AD218" s="1085">
        <v>1</v>
      </c>
      <c r="AE218" s="1477">
        <v>160</v>
      </c>
      <c r="AF218" s="1477"/>
      <c r="AG218" s="684"/>
      <c r="AH218" s="684"/>
      <c r="AI218" s="684"/>
      <c r="AJ218" s="684">
        <v>80</v>
      </c>
      <c r="AK218" s="1477" t="s">
        <v>16</v>
      </c>
      <c r="AL218" s="1477"/>
      <c r="AM218" s="1467">
        <v>67.38</v>
      </c>
      <c r="AN218" s="1468"/>
      <c r="AO218" s="707">
        <v>0</v>
      </c>
      <c r="AP218" s="1479"/>
      <c r="AQ218" s="1395"/>
      <c r="AR218" s="1395"/>
      <c r="AS218" s="1480"/>
      <c r="AT218" s="1305"/>
      <c r="AW218" s="9"/>
      <c r="AX218" s="9"/>
      <c r="AY218" s="9"/>
      <c r="BC218" s="9"/>
      <c r="BD218" s="9"/>
      <c r="BE218" s="9"/>
      <c r="BF218" s="9"/>
      <c r="BG218" s="9"/>
      <c r="BH218" s="9"/>
      <c r="BI218" s="9"/>
    </row>
    <row r="219" spans="1:61" ht="15.6" hidden="1" customHeight="1" x14ac:dyDescent="0.25">
      <c r="A219" s="636"/>
      <c r="B219" s="1531"/>
      <c r="C219" s="431" t="s">
        <v>399</v>
      </c>
      <c r="D219" s="687"/>
      <c r="E219" s="687"/>
      <c r="F219" s="687"/>
      <c r="G219" s="686">
        <v>32</v>
      </c>
      <c r="H219" s="1085">
        <v>1</v>
      </c>
      <c r="I219" s="1477">
        <v>160</v>
      </c>
      <c r="J219" s="1477"/>
      <c r="K219" s="684">
        <v>0</v>
      </c>
      <c r="L219" s="684">
        <v>80</v>
      </c>
      <c r="M219" s="684">
        <v>0</v>
      </c>
      <c r="N219" s="684">
        <v>80</v>
      </c>
      <c r="O219" s="1466" t="s">
        <v>1128</v>
      </c>
      <c r="P219" s="1466"/>
      <c r="Q219" s="1467">
        <v>72.5</v>
      </c>
      <c r="R219" s="1468"/>
      <c r="S219" s="707">
        <v>0</v>
      </c>
      <c r="T219" s="1479"/>
      <c r="U219" s="1395"/>
      <c r="V219" s="1395"/>
      <c r="W219" s="1480"/>
      <c r="X219" s="1513"/>
      <c r="Y219" s="459" t="s">
        <v>399</v>
      </c>
      <c r="Z219" s="687"/>
      <c r="AA219" s="687"/>
      <c r="AB219" s="687"/>
      <c r="AC219" s="686">
        <v>32</v>
      </c>
      <c r="AD219" s="1085">
        <v>1</v>
      </c>
      <c r="AE219" s="1477">
        <v>160</v>
      </c>
      <c r="AF219" s="1477"/>
      <c r="AG219" s="684">
        <v>0</v>
      </c>
      <c r="AH219" s="684">
        <v>80</v>
      </c>
      <c r="AI219" s="684">
        <v>0</v>
      </c>
      <c r="AJ219" s="684">
        <v>80</v>
      </c>
      <c r="AK219" s="1466" t="s">
        <v>1128</v>
      </c>
      <c r="AL219" s="1466"/>
      <c r="AM219" s="1467">
        <v>67.33</v>
      </c>
      <c r="AN219" s="1468"/>
      <c r="AO219" s="707">
        <v>0</v>
      </c>
      <c r="AP219" s="1479"/>
      <c r="AQ219" s="1395"/>
      <c r="AR219" s="1395"/>
      <c r="AS219" s="1480"/>
      <c r="AT219" s="1305"/>
      <c r="AY219" s="9"/>
      <c r="BC219" s="9"/>
      <c r="BD219" s="9"/>
      <c r="BE219" s="9"/>
      <c r="BF219" s="9"/>
      <c r="BG219" s="9"/>
      <c r="BH219" s="9"/>
      <c r="BI219" s="9"/>
    </row>
    <row r="220" spans="1:61" ht="15.6" hidden="1" customHeight="1" x14ac:dyDescent="0.25">
      <c r="A220" s="636"/>
      <c r="B220" s="1531"/>
      <c r="C220" s="431" t="s">
        <v>405</v>
      </c>
      <c r="D220" s="687"/>
      <c r="E220" s="687"/>
      <c r="F220" s="687"/>
      <c r="G220" s="453">
        <v>33</v>
      </c>
      <c r="H220" s="1086">
        <v>1</v>
      </c>
      <c r="I220" s="1469">
        <v>120</v>
      </c>
      <c r="J220" s="1469"/>
      <c r="K220" s="617" t="s">
        <v>408</v>
      </c>
      <c r="L220" s="617">
        <v>90</v>
      </c>
      <c r="M220" s="617">
        <v>30</v>
      </c>
      <c r="N220" s="617">
        <v>120</v>
      </c>
      <c r="O220" s="1469" t="s">
        <v>16</v>
      </c>
      <c r="P220" s="1469"/>
      <c r="Q220" s="1470">
        <v>73.5</v>
      </c>
      <c r="R220" s="1471"/>
      <c r="S220" s="707">
        <v>0</v>
      </c>
      <c r="T220" s="1479"/>
      <c r="U220" s="1395"/>
      <c r="V220" s="1395"/>
      <c r="W220" s="1480"/>
      <c r="X220" s="1513"/>
      <c r="Y220" s="459" t="s">
        <v>405</v>
      </c>
      <c r="Z220" s="687"/>
      <c r="AA220" s="687"/>
      <c r="AB220" s="687"/>
      <c r="AC220" s="453">
        <v>33</v>
      </c>
      <c r="AD220" s="1086">
        <v>1</v>
      </c>
      <c r="AE220" s="1469">
        <v>120</v>
      </c>
      <c r="AF220" s="1469"/>
      <c r="AG220" s="617" t="s">
        <v>408</v>
      </c>
      <c r="AH220" s="617">
        <v>90</v>
      </c>
      <c r="AI220" s="617">
        <v>30</v>
      </c>
      <c r="AJ220" s="617">
        <v>120</v>
      </c>
      <c r="AK220" s="1469" t="s">
        <v>16</v>
      </c>
      <c r="AL220" s="1469"/>
      <c r="AM220" s="1470">
        <v>68.08</v>
      </c>
      <c r="AN220" s="1471"/>
      <c r="AO220" s="707" t="s">
        <v>32</v>
      </c>
      <c r="AP220" s="1479"/>
      <c r="AQ220" s="1395"/>
      <c r="AR220" s="1395"/>
      <c r="AS220" s="1480"/>
      <c r="AT220" s="1305"/>
      <c r="AY220" s="9"/>
      <c r="BC220" s="9"/>
      <c r="BD220" s="9"/>
      <c r="BE220" s="9"/>
      <c r="BF220" s="9"/>
      <c r="BG220" s="9"/>
      <c r="BH220" s="9"/>
      <c r="BI220" s="9"/>
    </row>
    <row r="221" spans="1:61" ht="15.6" hidden="1" customHeight="1" x14ac:dyDescent="0.25">
      <c r="A221" s="636"/>
      <c r="B221" s="1531"/>
      <c r="C221" s="690" t="s">
        <v>947</v>
      </c>
      <c r="D221" s="442"/>
      <c r="E221" s="442"/>
      <c r="F221" s="442"/>
      <c r="G221" s="313"/>
      <c r="H221" s="1087" t="s">
        <v>29</v>
      </c>
      <c r="I221" s="691"/>
      <c r="J221" s="312"/>
      <c r="K221" s="1187"/>
      <c r="L221" s="1187"/>
      <c r="M221" s="1187"/>
      <c r="N221" s="1187"/>
      <c r="O221" s="1182"/>
      <c r="P221" s="313"/>
      <c r="Q221" s="708"/>
      <c r="R221" s="795"/>
      <c r="S221" s="1075"/>
      <c r="T221" s="1479"/>
      <c r="U221" s="1395"/>
      <c r="V221" s="1395"/>
      <c r="W221" s="1480"/>
      <c r="X221" s="1513"/>
      <c r="Y221" s="1142" t="s">
        <v>947</v>
      </c>
      <c r="Z221" s="442"/>
      <c r="AA221" s="442"/>
      <c r="AB221" s="442"/>
      <c r="AC221" s="313"/>
      <c r="AD221" s="1087" t="s">
        <v>29</v>
      </c>
      <c r="AE221" s="691"/>
      <c r="AF221" s="312"/>
      <c r="AG221" s="1187"/>
      <c r="AH221" s="1187"/>
      <c r="AI221" s="1187"/>
      <c r="AJ221" s="1187"/>
      <c r="AK221" s="1182"/>
      <c r="AL221" s="313"/>
      <c r="AM221" s="708"/>
      <c r="AN221" s="795"/>
      <c r="AO221" s="1075"/>
      <c r="AP221" s="1479"/>
      <c r="AQ221" s="1395"/>
      <c r="AR221" s="1395"/>
      <c r="AS221" s="1480"/>
      <c r="AT221" s="1305"/>
      <c r="AY221" s="9"/>
      <c r="BC221" s="9"/>
      <c r="BD221" s="9"/>
      <c r="BE221" s="9"/>
      <c r="BF221" s="9"/>
      <c r="BG221" s="9"/>
      <c r="BH221" s="9"/>
      <c r="BI221" s="9"/>
    </row>
    <row r="222" spans="1:61" ht="15.6" hidden="1" customHeight="1" x14ac:dyDescent="0.25">
      <c r="A222" s="636"/>
      <c r="B222" s="1531"/>
      <c r="C222" s="704" t="s">
        <v>970</v>
      </c>
      <c r="D222" s="688"/>
      <c r="E222" s="688"/>
      <c r="F222" s="688"/>
      <c r="G222" s="413">
        <v>35</v>
      </c>
      <c r="H222" s="1088">
        <v>10</v>
      </c>
      <c r="I222" s="1472">
        <v>120</v>
      </c>
      <c r="J222" s="1472"/>
      <c r="K222" s="618">
        <v>0</v>
      </c>
      <c r="L222" s="618">
        <v>0</v>
      </c>
      <c r="M222" s="618">
        <v>0</v>
      </c>
      <c r="N222" s="618">
        <v>0</v>
      </c>
      <c r="O222" s="1472" t="s">
        <v>417</v>
      </c>
      <c r="P222" s="1472"/>
      <c r="Q222" s="1473">
        <v>74</v>
      </c>
      <c r="R222" s="1474"/>
      <c r="S222" s="707">
        <v>0</v>
      </c>
      <c r="T222" s="1479"/>
      <c r="U222" s="1395"/>
      <c r="V222" s="1395"/>
      <c r="W222" s="1480"/>
      <c r="X222" s="1513"/>
      <c r="Y222" s="1225" t="s">
        <v>970</v>
      </c>
      <c r="Z222" s="688"/>
      <c r="AA222" s="688"/>
      <c r="AB222" s="688"/>
      <c r="AC222" s="413">
        <v>35</v>
      </c>
      <c r="AD222" s="1088">
        <v>10</v>
      </c>
      <c r="AE222" s="1472">
        <v>120</v>
      </c>
      <c r="AF222" s="1472"/>
      <c r="AG222" s="618">
        <v>0</v>
      </c>
      <c r="AH222" s="618">
        <v>0</v>
      </c>
      <c r="AI222" s="618">
        <v>0</v>
      </c>
      <c r="AJ222" s="618">
        <v>0</v>
      </c>
      <c r="AK222" s="1472" t="s">
        <v>417</v>
      </c>
      <c r="AL222" s="1472"/>
      <c r="AM222" s="1473">
        <v>67.83</v>
      </c>
      <c r="AN222" s="1474"/>
      <c r="AO222" s="707">
        <v>0</v>
      </c>
      <c r="AP222" s="1479"/>
      <c r="AQ222" s="1395"/>
      <c r="AR222" s="1395"/>
      <c r="AS222" s="1480"/>
      <c r="AT222" s="1305"/>
      <c r="AY222" s="9"/>
      <c r="BC222" s="9"/>
      <c r="BD222" s="9"/>
      <c r="BE222" s="9"/>
      <c r="BF222" s="9"/>
      <c r="BG222" s="9"/>
      <c r="BH222" s="9"/>
      <c r="BI222" s="9"/>
    </row>
    <row r="223" spans="1:61" ht="15.6" hidden="1" customHeight="1" x14ac:dyDescent="0.25">
      <c r="A223" s="636"/>
      <c r="B223" s="1531"/>
      <c r="C223" s="704" t="s">
        <v>447</v>
      </c>
      <c r="D223" s="688"/>
      <c r="E223" s="688"/>
      <c r="F223" s="688"/>
      <c r="G223" s="453">
        <v>36</v>
      </c>
      <c r="H223" s="1086">
        <v>2</v>
      </c>
      <c r="I223" s="1469">
        <v>100</v>
      </c>
      <c r="J223" s="1469"/>
      <c r="K223" s="617">
        <v>0</v>
      </c>
      <c r="L223" s="617">
        <v>0</v>
      </c>
      <c r="M223" s="617">
        <v>20</v>
      </c>
      <c r="N223" s="617">
        <v>20</v>
      </c>
      <c r="O223" s="1469" t="s">
        <v>417</v>
      </c>
      <c r="P223" s="1469"/>
      <c r="Q223" s="1470">
        <v>75.2</v>
      </c>
      <c r="R223" s="1471"/>
      <c r="S223" s="707">
        <v>0</v>
      </c>
      <c r="T223" s="1479"/>
      <c r="U223" s="1395"/>
      <c r="V223" s="1395"/>
      <c r="W223" s="1480"/>
      <c r="X223" s="1513"/>
      <c r="Y223" s="1225" t="s">
        <v>447</v>
      </c>
      <c r="Z223" s="688"/>
      <c r="AA223" s="688"/>
      <c r="AB223" s="688"/>
      <c r="AC223" s="453">
        <v>36</v>
      </c>
      <c r="AD223" s="1086">
        <v>2</v>
      </c>
      <c r="AE223" s="1469">
        <v>100</v>
      </c>
      <c r="AF223" s="1469"/>
      <c r="AG223" s="617">
        <v>0</v>
      </c>
      <c r="AH223" s="617">
        <v>0</v>
      </c>
      <c r="AI223" s="617">
        <v>20</v>
      </c>
      <c r="AJ223" s="617">
        <v>20</v>
      </c>
      <c r="AK223" s="1469" t="s">
        <v>417</v>
      </c>
      <c r="AL223" s="1469"/>
      <c r="AM223" s="1470">
        <v>68.400000000000006</v>
      </c>
      <c r="AN223" s="1471"/>
      <c r="AO223" s="707" t="s">
        <v>32</v>
      </c>
      <c r="AP223" s="1479"/>
      <c r="AQ223" s="1395"/>
      <c r="AR223" s="1395"/>
      <c r="AS223" s="1480"/>
      <c r="AT223" s="1305"/>
      <c r="BG223" s="9"/>
      <c r="BH223" s="9"/>
      <c r="BI223" s="9"/>
    </row>
    <row r="224" spans="1:61" ht="15.6" hidden="1" customHeight="1" x14ac:dyDescent="0.25">
      <c r="A224" s="636"/>
      <c r="B224" s="1532"/>
      <c r="C224" s="1475" t="s">
        <v>1006</v>
      </c>
      <c r="D224" s="1476"/>
      <c r="E224" s="1476"/>
      <c r="F224" s="1476"/>
      <c r="G224" s="442" t="s">
        <v>856</v>
      </c>
      <c r="H224" s="442"/>
      <c r="I224" s="705"/>
      <c r="J224" s="705"/>
      <c r="K224" s="705"/>
      <c r="L224" s="705"/>
      <c r="M224" s="705"/>
      <c r="N224" s="705"/>
      <c r="O224" s="705"/>
      <c r="P224" s="705"/>
      <c r="Q224" s="705"/>
      <c r="R224" s="702"/>
      <c r="S224" s="1081"/>
      <c r="T224" s="174"/>
      <c r="U224" s="174"/>
      <c r="V224" s="105"/>
      <c r="W224" s="891"/>
      <c r="X224" s="1514"/>
      <c r="Y224" s="1475" t="s">
        <v>1006</v>
      </c>
      <c r="Z224" s="1476"/>
      <c r="AA224" s="1476"/>
      <c r="AB224" s="1476"/>
      <c r="AC224" s="442" t="s">
        <v>856</v>
      </c>
      <c r="AD224" s="442"/>
      <c r="AE224" s="705"/>
      <c r="AF224" s="705"/>
      <c r="AG224" s="705"/>
      <c r="AH224" s="705"/>
      <c r="AI224" s="705"/>
      <c r="AJ224" s="705"/>
      <c r="AK224" s="705"/>
      <c r="AL224" s="705"/>
      <c r="AM224" s="705"/>
      <c r="AN224" s="702"/>
      <c r="AO224" s="1081"/>
      <c r="AP224" s="174"/>
      <c r="AQ224" s="174"/>
      <c r="AR224" s="105"/>
      <c r="AS224" s="891"/>
      <c r="AT224" s="1305"/>
    </row>
    <row r="225" spans="1:45" ht="15.6" hidden="1" customHeight="1" x14ac:dyDescent="0.25">
      <c r="A225" s="1144"/>
      <c r="B225" s="1191"/>
      <c r="C225" s="1317" t="s">
        <v>1299</v>
      </c>
      <c r="D225" s="1318"/>
      <c r="E225" s="1319"/>
      <c r="F225" s="1320"/>
      <c r="G225" s="1320"/>
      <c r="H225" s="1320"/>
      <c r="I225" s="1320"/>
      <c r="J225" s="1320"/>
      <c r="K225" s="1320"/>
      <c r="L225" s="1321"/>
      <c r="M225" s="1321"/>
      <c r="N225" s="1322"/>
      <c r="O225" s="1322"/>
      <c r="P225" s="1323"/>
      <c r="Q225" s="1318"/>
      <c r="R225" s="1320"/>
      <c r="S225" s="1320"/>
      <c r="T225" s="1324"/>
      <c r="U225" s="1325"/>
      <c r="V225" s="1318"/>
      <c r="W225" s="1326"/>
      <c r="X225" s="1191"/>
      <c r="Y225" s="1317" t="s">
        <v>1309</v>
      </c>
      <c r="Z225" s="1318"/>
      <c r="AA225" s="1319"/>
      <c r="AB225" s="1320"/>
      <c r="AC225" s="1320"/>
      <c r="AD225" s="1320"/>
      <c r="AE225" s="1320"/>
      <c r="AF225" s="1320"/>
      <c r="AG225" s="1320"/>
      <c r="AH225" s="1321"/>
      <c r="AI225" s="1321"/>
      <c r="AJ225" s="1322"/>
      <c r="AK225" s="1322"/>
      <c r="AL225" s="1323"/>
      <c r="AM225" s="1318"/>
      <c r="AN225" s="1320"/>
      <c r="AO225" s="1320"/>
      <c r="AP225" s="1324"/>
      <c r="AQ225" s="1325"/>
      <c r="AR225" s="1318"/>
      <c r="AS225" s="1326"/>
    </row>
    <row r="226" spans="1:45" ht="15.6" hidden="1" customHeight="1" x14ac:dyDescent="0.25">
      <c r="B226" s="1530"/>
      <c r="C226" s="306" t="s">
        <v>798</v>
      </c>
      <c r="D226" s="696"/>
      <c r="E226" s="696"/>
      <c r="F226" s="307"/>
      <c r="G226" s="308"/>
      <c r="H226" s="309"/>
      <c r="I226" s="880"/>
      <c r="J226" s="881" t="s">
        <v>799</v>
      </c>
      <c r="K226" s="882"/>
      <c r="L226" s="882"/>
      <c r="M226" s="883"/>
      <c r="N226" s="884"/>
      <c r="O226" s="885"/>
      <c r="P226" s="880"/>
      <c r="Q226" s="302" t="s">
        <v>800</v>
      </c>
      <c r="R226" s="695"/>
      <c r="S226" s="695"/>
      <c r="T226" s="303"/>
      <c r="U226" s="304"/>
      <c r="V226" s="305"/>
      <c r="W226" s="886"/>
      <c r="X226" s="1530"/>
      <c r="Y226" s="306" t="s">
        <v>798</v>
      </c>
      <c r="Z226" s="696"/>
      <c r="AA226" s="696"/>
      <c r="AB226" s="307"/>
      <c r="AC226" s="308"/>
      <c r="AD226" s="309"/>
      <c r="AE226" s="880"/>
      <c r="AF226" s="881" t="s">
        <v>799</v>
      </c>
      <c r="AG226" s="882"/>
      <c r="AH226" s="882"/>
      <c r="AI226" s="883"/>
      <c r="AJ226" s="884"/>
      <c r="AK226" s="885"/>
      <c r="AL226" s="880"/>
      <c r="AM226" s="302" t="s">
        <v>800</v>
      </c>
      <c r="AN226" s="695"/>
      <c r="AO226" s="695"/>
      <c r="AP226" s="303"/>
      <c r="AQ226" s="304"/>
      <c r="AR226" s="305"/>
      <c r="AS226" s="886"/>
    </row>
    <row r="227" spans="1:45" ht="15.6" hidden="1" customHeight="1" x14ac:dyDescent="0.25">
      <c r="B227" s="1531"/>
      <c r="C227" s="1533" t="s">
        <v>808</v>
      </c>
      <c r="D227" s="1515"/>
      <c r="E227" s="1516"/>
      <c r="F227" s="315" t="s">
        <v>809</v>
      </c>
      <c r="G227" s="315" t="s">
        <v>810</v>
      </c>
      <c r="H227" s="315" t="s">
        <v>811</v>
      </c>
      <c r="I227" s="276"/>
      <c r="J227" s="1517" t="s">
        <v>808</v>
      </c>
      <c r="K227" s="1518"/>
      <c r="L227" s="1519"/>
      <c r="M227" s="1186" t="s">
        <v>809</v>
      </c>
      <c r="N227" s="1186" t="s">
        <v>810</v>
      </c>
      <c r="O227" s="1186" t="s">
        <v>811</v>
      </c>
      <c r="P227" s="260"/>
      <c r="Q227" s="1517" t="s">
        <v>808</v>
      </c>
      <c r="R227" s="1518"/>
      <c r="S227" s="1519"/>
      <c r="T227" s="1186" t="s">
        <v>809</v>
      </c>
      <c r="U227" s="1186" t="s">
        <v>810</v>
      </c>
      <c r="V227" s="1186" t="s">
        <v>811</v>
      </c>
      <c r="W227" s="348"/>
      <c r="X227" s="1531"/>
      <c r="Y227" s="1533" t="s">
        <v>808</v>
      </c>
      <c r="Z227" s="1515"/>
      <c r="AA227" s="1516"/>
      <c r="AB227" s="315" t="s">
        <v>809</v>
      </c>
      <c r="AC227" s="315" t="s">
        <v>810</v>
      </c>
      <c r="AD227" s="315" t="s">
        <v>811</v>
      </c>
      <c r="AE227" s="276"/>
      <c r="AF227" s="1517" t="s">
        <v>808</v>
      </c>
      <c r="AG227" s="1518"/>
      <c r="AH227" s="1519"/>
      <c r="AI227" s="1186" t="s">
        <v>809</v>
      </c>
      <c r="AJ227" s="1186" t="s">
        <v>810</v>
      </c>
      <c r="AK227" s="1186" t="s">
        <v>811</v>
      </c>
      <c r="AL227" s="260"/>
      <c r="AM227" s="1517" t="s">
        <v>808</v>
      </c>
      <c r="AN227" s="1518"/>
      <c r="AO227" s="1519"/>
      <c r="AP227" s="1186" t="s">
        <v>809</v>
      </c>
      <c r="AQ227" s="1186" t="s">
        <v>810</v>
      </c>
      <c r="AR227" s="1186" t="s">
        <v>811</v>
      </c>
      <c r="AS227" s="348"/>
    </row>
    <row r="228" spans="1:45" ht="15.6" hidden="1" customHeight="1" x14ac:dyDescent="0.25">
      <c r="B228" s="1531"/>
      <c r="C228" s="1504" t="s">
        <v>866</v>
      </c>
      <c r="D228" s="1505"/>
      <c r="E228" s="1506"/>
      <c r="F228" s="817">
        <v>20</v>
      </c>
      <c r="G228" s="862">
        <v>54</v>
      </c>
      <c r="H228" s="1184" t="s">
        <v>760</v>
      </c>
      <c r="I228" s="276"/>
      <c r="J228" s="1504" t="s">
        <v>867</v>
      </c>
      <c r="K228" s="1505"/>
      <c r="L228" s="1506"/>
      <c r="M228" s="817">
        <v>20</v>
      </c>
      <c r="N228" s="862">
        <v>60</v>
      </c>
      <c r="O228" s="554" t="s">
        <v>763</v>
      </c>
      <c r="P228" s="276"/>
      <c r="Q228" s="1504" t="s">
        <v>868</v>
      </c>
      <c r="R228" s="1505"/>
      <c r="S228" s="1506"/>
      <c r="T228" s="817">
        <v>20</v>
      </c>
      <c r="U228" s="862">
        <v>65</v>
      </c>
      <c r="V228" s="1184" t="s">
        <v>765</v>
      </c>
      <c r="W228" s="348"/>
      <c r="X228" s="1531"/>
      <c r="Y228" s="1504" t="s">
        <v>866</v>
      </c>
      <c r="Z228" s="1505"/>
      <c r="AA228" s="1506"/>
      <c r="AB228" s="817">
        <v>20</v>
      </c>
      <c r="AC228" s="862">
        <v>54</v>
      </c>
      <c r="AD228" s="1184" t="s">
        <v>760</v>
      </c>
      <c r="AE228" s="276"/>
      <c r="AF228" s="1504" t="s">
        <v>867</v>
      </c>
      <c r="AG228" s="1505"/>
      <c r="AH228" s="1506"/>
      <c r="AI228" s="817">
        <v>20</v>
      </c>
      <c r="AJ228" s="862">
        <v>43</v>
      </c>
      <c r="AK228" s="554" t="s">
        <v>756</v>
      </c>
      <c r="AL228" s="276"/>
      <c r="AM228" s="1504" t="s">
        <v>868</v>
      </c>
      <c r="AN228" s="1505"/>
      <c r="AO228" s="1506"/>
      <c r="AP228" s="817">
        <v>20</v>
      </c>
      <c r="AQ228" s="862">
        <v>66</v>
      </c>
      <c r="AR228" s="1184" t="s">
        <v>765</v>
      </c>
      <c r="AS228" s="348"/>
    </row>
    <row r="229" spans="1:45" ht="15.6" hidden="1" customHeight="1" x14ac:dyDescent="0.25">
      <c r="B229" s="1531"/>
      <c r="C229" s="1534" t="s">
        <v>869</v>
      </c>
      <c r="D229" s="1520"/>
      <c r="E229" s="1521"/>
      <c r="F229" s="817">
        <v>20</v>
      </c>
      <c r="G229" s="862">
        <v>60</v>
      </c>
      <c r="H229" s="1184" t="s">
        <v>763</v>
      </c>
      <c r="I229" s="276"/>
      <c r="J229" s="1504" t="s">
        <v>870</v>
      </c>
      <c r="K229" s="1505"/>
      <c r="L229" s="1506"/>
      <c r="M229" s="817">
        <v>20</v>
      </c>
      <c r="N229" s="862">
        <v>61</v>
      </c>
      <c r="O229" s="554" t="s">
        <v>763</v>
      </c>
      <c r="P229" s="276"/>
      <c r="Q229" s="1504" t="s">
        <v>871</v>
      </c>
      <c r="R229" s="1505"/>
      <c r="S229" s="1506"/>
      <c r="T229" s="817">
        <v>20</v>
      </c>
      <c r="U229" s="862">
        <v>66</v>
      </c>
      <c r="V229" s="1184" t="s">
        <v>765</v>
      </c>
      <c r="W229" s="348"/>
      <c r="X229" s="1531"/>
      <c r="Y229" s="1534" t="s">
        <v>869</v>
      </c>
      <c r="Z229" s="1520"/>
      <c r="AA229" s="1521"/>
      <c r="AB229" s="817">
        <v>20</v>
      </c>
      <c r="AC229" s="862">
        <v>57</v>
      </c>
      <c r="AD229" s="1184" t="s">
        <v>761</v>
      </c>
      <c r="AE229" s="276"/>
      <c r="AF229" s="1504" t="s">
        <v>870</v>
      </c>
      <c r="AG229" s="1505"/>
      <c r="AH229" s="1506"/>
      <c r="AI229" s="817">
        <v>20</v>
      </c>
      <c r="AJ229" s="862">
        <v>47</v>
      </c>
      <c r="AK229" s="554" t="s">
        <v>757</v>
      </c>
      <c r="AL229" s="276"/>
      <c r="AM229" s="1504" t="s">
        <v>871</v>
      </c>
      <c r="AN229" s="1505"/>
      <c r="AO229" s="1506"/>
      <c r="AP229" s="817">
        <v>20</v>
      </c>
      <c r="AQ229" s="862">
        <v>71</v>
      </c>
      <c r="AR229" s="1184" t="s">
        <v>767</v>
      </c>
      <c r="AS229" s="348"/>
    </row>
    <row r="230" spans="1:45" ht="15.6" hidden="1" customHeight="1" x14ac:dyDescent="0.25">
      <c r="B230" s="1531"/>
      <c r="C230" s="1504" t="s">
        <v>872</v>
      </c>
      <c r="D230" s="1505"/>
      <c r="E230" s="1506"/>
      <c r="F230" s="817">
        <v>20</v>
      </c>
      <c r="G230" s="862">
        <v>62</v>
      </c>
      <c r="H230" s="1184" t="s">
        <v>763</v>
      </c>
      <c r="I230" s="276"/>
      <c r="J230" s="1504" t="s">
        <v>873</v>
      </c>
      <c r="K230" s="1505"/>
      <c r="L230" s="1506"/>
      <c r="M230" s="817">
        <v>20</v>
      </c>
      <c r="N230" s="862">
        <v>62</v>
      </c>
      <c r="O230" s="554" t="s">
        <v>763</v>
      </c>
      <c r="P230" s="276"/>
      <c r="Q230" s="1504" t="s">
        <v>874</v>
      </c>
      <c r="R230" s="1505"/>
      <c r="S230" s="1506"/>
      <c r="T230" s="817">
        <v>20</v>
      </c>
      <c r="U230" s="862">
        <v>66</v>
      </c>
      <c r="V230" s="1184" t="s">
        <v>765</v>
      </c>
      <c r="W230" s="348"/>
      <c r="X230" s="1531"/>
      <c r="Y230" s="1504" t="s">
        <v>872</v>
      </c>
      <c r="Z230" s="1505"/>
      <c r="AA230" s="1506"/>
      <c r="AB230" s="817">
        <v>20</v>
      </c>
      <c r="AC230" s="862">
        <v>63</v>
      </c>
      <c r="AD230" s="1184" t="s">
        <v>764</v>
      </c>
      <c r="AE230" s="276"/>
      <c r="AF230" s="1504" t="s">
        <v>873</v>
      </c>
      <c r="AG230" s="1505"/>
      <c r="AH230" s="1506"/>
      <c r="AI230" s="817">
        <v>20</v>
      </c>
      <c r="AJ230" s="862">
        <v>50</v>
      </c>
      <c r="AK230" s="554" t="s">
        <v>759</v>
      </c>
      <c r="AL230" s="276"/>
      <c r="AM230" s="1504" t="s">
        <v>874</v>
      </c>
      <c r="AN230" s="1505"/>
      <c r="AO230" s="1506"/>
      <c r="AP230" s="817">
        <v>20</v>
      </c>
      <c r="AQ230" s="862">
        <v>74</v>
      </c>
      <c r="AR230" s="1184" t="s">
        <v>768</v>
      </c>
      <c r="AS230" s="348"/>
    </row>
    <row r="231" spans="1:45" ht="15.6" hidden="1" customHeight="1" x14ac:dyDescent="0.25">
      <c r="B231" s="1531"/>
      <c r="C231" s="1504" t="s">
        <v>875</v>
      </c>
      <c r="D231" s="1505"/>
      <c r="E231" s="1506"/>
      <c r="F231" s="817">
        <v>20</v>
      </c>
      <c r="G231" s="862">
        <v>65</v>
      </c>
      <c r="H231" s="1184" t="s">
        <v>765</v>
      </c>
      <c r="I231" s="276"/>
      <c r="J231" s="1504" t="s">
        <v>876</v>
      </c>
      <c r="K231" s="1505"/>
      <c r="L231" s="1506"/>
      <c r="M231" s="817">
        <v>20</v>
      </c>
      <c r="N231" s="862">
        <v>66</v>
      </c>
      <c r="O231" s="554" t="s">
        <v>765</v>
      </c>
      <c r="P231" s="276"/>
      <c r="Q231" s="1504" t="s">
        <v>877</v>
      </c>
      <c r="R231" s="1505"/>
      <c r="S231" s="1506"/>
      <c r="T231" s="817">
        <v>20</v>
      </c>
      <c r="U231" s="862">
        <v>68</v>
      </c>
      <c r="V231" s="1184" t="s">
        <v>766</v>
      </c>
      <c r="W231" s="348"/>
      <c r="X231" s="1531"/>
      <c r="Y231" s="1504" t="s">
        <v>875</v>
      </c>
      <c r="Z231" s="1505"/>
      <c r="AA231" s="1506"/>
      <c r="AB231" s="817">
        <v>20</v>
      </c>
      <c r="AC231" s="862">
        <v>65</v>
      </c>
      <c r="AD231" s="1184" t="s">
        <v>765</v>
      </c>
      <c r="AE231" s="276"/>
      <c r="AF231" s="1504" t="s">
        <v>876</v>
      </c>
      <c r="AG231" s="1505"/>
      <c r="AH231" s="1506"/>
      <c r="AI231" s="817">
        <v>20</v>
      </c>
      <c r="AJ231" s="862">
        <v>56</v>
      </c>
      <c r="AK231" s="554" t="s">
        <v>761</v>
      </c>
      <c r="AL231" s="276"/>
      <c r="AM231" s="1504" t="s">
        <v>877</v>
      </c>
      <c r="AN231" s="1505"/>
      <c r="AO231" s="1506"/>
      <c r="AP231" s="817">
        <v>20</v>
      </c>
      <c r="AQ231" s="862">
        <v>75</v>
      </c>
      <c r="AR231" s="1184" t="s">
        <v>769</v>
      </c>
      <c r="AS231" s="348"/>
    </row>
    <row r="232" spans="1:45" ht="15.6" hidden="1" customHeight="1" x14ac:dyDescent="0.25">
      <c r="B232" s="1531"/>
      <c r="C232" s="1504" t="s">
        <v>878</v>
      </c>
      <c r="D232" s="1505"/>
      <c r="E232" s="1506"/>
      <c r="F232" s="817">
        <v>20</v>
      </c>
      <c r="G232" s="862">
        <v>70</v>
      </c>
      <c r="H232" s="1184" t="s">
        <v>767</v>
      </c>
      <c r="I232" s="276"/>
      <c r="J232" s="1504" t="s">
        <v>879</v>
      </c>
      <c r="K232" s="1505"/>
      <c r="L232" s="1506"/>
      <c r="M232" s="817">
        <v>20</v>
      </c>
      <c r="N232" s="862">
        <v>67</v>
      </c>
      <c r="O232" s="554" t="s">
        <v>765</v>
      </c>
      <c r="P232" s="276"/>
      <c r="Q232" s="1504" t="s">
        <v>880</v>
      </c>
      <c r="R232" s="1505"/>
      <c r="S232" s="1506"/>
      <c r="T232" s="817">
        <v>20</v>
      </c>
      <c r="U232" s="862">
        <v>68</v>
      </c>
      <c r="V232" s="1184" t="s">
        <v>766</v>
      </c>
      <c r="W232" s="348"/>
      <c r="X232" s="1531"/>
      <c r="Y232" s="1504" t="s">
        <v>878</v>
      </c>
      <c r="Z232" s="1505"/>
      <c r="AA232" s="1506"/>
      <c r="AB232" s="817">
        <v>20</v>
      </c>
      <c r="AC232" s="862">
        <v>72</v>
      </c>
      <c r="AD232" s="1184" t="s">
        <v>767</v>
      </c>
      <c r="AE232" s="276"/>
      <c r="AF232" s="1504" t="s">
        <v>879</v>
      </c>
      <c r="AG232" s="1505"/>
      <c r="AH232" s="1506"/>
      <c r="AI232" s="817">
        <v>20</v>
      </c>
      <c r="AJ232" s="862">
        <v>60</v>
      </c>
      <c r="AK232" s="554" t="s">
        <v>763</v>
      </c>
      <c r="AL232" s="276"/>
      <c r="AM232" s="1504" t="s">
        <v>880</v>
      </c>
      <c r="AN232" s="1505"/>
      <c r="AO232" s="1506"/>
      <c r="AP232" s="817">
        <v>20</v>
      </c>
      <c r="AQ232" s="862">
        <v>75</v>
      </c>
      <c r="AR232" s="1184" t="s">
        <v>769</v>
      </c>
      <c r="AS232" s="348"/>
    </row>
    <row r="233" spans="1:45" ht="15.6" hidden="1" customHeight="1" x14ac:dyDescent="0.25">
      <c r="B233" s="1531"/>
      <c r="C233" s="1504" t="s">
        <v>881</v>
      </c>
      <c r="D233" s="1505"/>
      <c r="E233" s="1506"/>
      <c r="F233" s="817">
        <v>20</v>
      </c>
      <c r="G233" s="862">
        <v>76</v>
      </c>
      <c r="H233" s="1184" t="s">
        <v>769</v>
      </c>
      <c r="I233" s="276"/>
      <c r="J233" s="1504" t="s">
        <v>882</v>
      </c>
      <c r="K233" s="1505"/>
      <c r="L233" s="1506"/>
      <c r="M233" s="817">
        <v>20</v>
      </c>
      <c r="N233" s="862">
        <v>68</v>
      </c>
      <c r="O233" s="554" t="s">
        <v>766</v>
      </c>
      <c r="P233" s="276"/>
      <c r="Q233" s="1504" t="s">
        <v>883</v>
      </c>
      <c r="R233" s="1505"/>
      <c r="S233" s="1506"/>
      <c r="T233" s="817">
        <v>20</v>
      </c>
      <c r="U233" s="818">
        <v>74</v>
      </c>
      <c r="V233" s="1184" t="s">
        <v>768</v>
      </c>
      <c r="W233" s="348"/>
      <c r="X233" s="1531"/>
      <c r="Y233" s="1504" t="s">
        <v>881</v>
      </c>
      <c r="Z233" s="1505"/>
      <c r="AA233" s="1506"/>
      <c r="AB233" s="817">
        <v>20</v>
      </c>
      <c r="AC233" s="862">
        <v>80</v>
      </c>
      <c r="AD233" s="1184" t="s">
        <v>771</v>
      </c>
      <c r="AE233" s="276"/>
      <c r="AF233" s="1504" t="s">
        <v>882</v>
      </c>
      <c r="AG233" s="1505"/>
      <c r="AH233" s="1506"/>
      <c r="AI233" s="817">
        <v>20</v>
      </c>
      <c r="AJ233" s="862">
        <v>60</v>
      </c>
      <c r="AK233" s="554" t="s">
        <v>763</v>
      </c>
      <c r="AL233" s="276"/>
      <c r="AM233" s="1504" t="s">
        <v>883</v>
      </c>
      <c r="AN233" s="1505"/>
      <c r="AO233" s="1506"/>
      <c r="AP233" s="817">
        <v>20</v>
      </c>
      <c r="AQ233" s="818">
        <v>81</v>
      </c>
      <c r="AR233" s="1184" t="s">
        <v>771</v>
      </c>
      <c r="AS233" s="348"/>
    </row>
    <row r="234" spans="1:45" ht="15.6" hidden="1" customHeight="1" x14ac:dyDescent="0.25">
      <c r="B234" s="1531"/>
      <c r="C234" s="1504" t="s">
        <v>636</v>
      </c>
      <c r="D234" s="1505"/>
      <c r="E234" s="1506"/>
      <c r="F234" s="817"/>
      <c r="G234" s="862"/>
      <c r="H234" s="1184" t="s">
        <v>29</v>
      </c>
      <c r="I234" s="276"/>
      <c r="J234" s="1504" t="s">
        <v>636</v>
      </c>
      <c r="K234" s="1505"/>
      <c r="L234" s="1506"/>
      <c r="M234" s="817"/>
      <c r="N234" s="862"/>
      <c r="O234" s="554" t="s">
        <v>29</v>
      </c>
      <c r="P234" s="276"/>
      <c r="Q234" s="1504" t="s">
        <v>636</v>
      </c>
      <c r="R234" s="1505"/>
      <c r="S234" s="1506"/>
      <c r="T234" s="817"/>
      <c r="U234" s="818"/>
      <c r="V234" s="1184" t="s">
        <v>29</v>
      </c>
      <c r="W234" s="167"/>
      <c r="X234" s="1531"/>
      <c r="Y234" s="1504" t="s">
        <v>636</v>
      </c>
      <c r="Z234" s="1505"/>
      <c r="AA234" s="1506"/>
      <c r="AB234" s="817"/>
      <c r="AC234" s="862"/>
      <c r="AD234" s="1184" t="s">
        <v>29</v>
      </c>
      <c r="AE234" s="276"/>
      <c r="AF234" s="1504" t="s">
        <v>636</v>
      </c>
      <c r="AG234" s="1505"/>
      <c r="AH234" s="1506"/>
      <c r="AI234" s="817"/>
      <c r="AJ234" s="862"/>
      <c r="AK234" s="554" t="s">
        <v>29</v>
      </c>
      <c r="AL234" s="276"/>
      <c r="AM234" s="1504" t="s">
        <v>636</v>
      </c>
      <c r="AN234" s="1505"/>
      <c r="AO234" s="1506"/>
      <c r="AP234" s="817"/>
      <c r="AQ234" s="818"/>
      <c r="AR234" s="1184" t="s">
        <v>29</v>
      </c>
      <c r="AS234" s="167"/>
    </row>
    <row r="235" spans="1:45" ht="15.6" hidden="1" customHeight="1" x14ac:dyDescent="0.25">
      <c r="B235" s="1531"/>
      <c r="C235" s="1504" t="s">
        <v>636</v>
      </c>
      <c r="D235" s="1505"/>
      <c r="E235" s="1506"/>
      <c r="F235" s="817"/>
      <c r="G235" s="862"/>
      <c r="H235" s="1184" t="s">
        <v>29</v>
      </c>
      <c r="I235" s="276"/>
      <c r="J235" s="1504" t="s">
        <v>636</v>
      </c>
      <c r="K235" s="1505"/>
      <c r="L235" s="1506"/>
      <c r="M235" s="817"/>
      <c r="N235" s="862"/>
      <c r="O235" s="554" t="s">
        <v>29</v>
      </c>
      <c r="P235" s="276"/>
      <c r="Q235" s="1504" t="s">
        <v>636</v>
      </c>
      <c r="R235" s="1505"/>
      <c r="S235" s="1506"/>
      <c r="T235" s="817"/>
      <c r="U235" s="818"/>
      <c r="V235" s="1184" t="s">
        <v>29</v>
      </c>
      <c r="W235" s="348"/>
      <c r="X235" s="1531"/>
      <c r="Y235" s="1504" t="s">
        <v>636</v>
      </c>
      <c r="Z235" s="1505"/>
      <c r="AA235" s="1506"/>
      <c r="AB235" s="817"/>
      <c r="AC235" s="862"/>
      <c r="AD235" s="1184" t="s">
        <v>29</v>
      </c>
      <c r="AE235" s="276"/>
      <c r="AF235" s="1504" t="s">
        <v>636</v>
      </c>
      <c r="AG235" s="1505"/>
      <c r="AH235" s="1506"/>
      <c r="AI235" s="817"/>
      <c r="AJ235" s="862"/>
      <c r="AK235" s="554" t="s">
        <v>29</v>
      </c>
      <c r="AL235" s="276"/>
      <c r="AM235" s="1504" t="s">
        <v>636</v>
      </c>
      <c r="AN235" s="1505"/>
      <c r="AO235" s="1506"/>
      <c r="AP235" s="817"/>
      <c r="AQ235" s="818"/>
      <c r="AR235" s="1184" t="s">
        <v>29</v>
      </c>
      <c r="AS235" s="348"/>
    </row>
    <row r="236" spans="1:45" ht="15.6" hidden="1" customHeight="1" x14ac:dyDescent="0.25">
      <c r="B236" s="1531"/>
      <c r="C236" s="1504" t="s">
        <v>636</v>
      </c>
      <c r="D236" s="1505"/>
      <c r="E236" s="1506"/>
      <c r="F236" s="817"/>
      <c r="G236" s="862"/>
      <c r="H236" s="1184" t="s">
        <v>29</v>
      </c>
      <c r="I236" s="276"/>
      <c r="J236" s="1504" t="s">
        <v>636</v>
      </c>
      <c r="K236" s="1505"/>
      <c r="L236" s="1506"/>
      <c r="M236" s="817"/>
      <c r="N236" s="862"/>
      <c r="O236" s="554" t="s">
        <v>29</v>
      </c>
      <c r="P236" s="276"/>
      <c r="Q236" s="1504" t="s">
        <v>636</v>
      </c>
      <c r="R236" s="1505"/>
      <c r="S236" s="1506"/>
      <c r="T236" s="817"/>
      <c r="U236" s="818"/>
      <c r="V236" s="1184" t="s">
        <v>29</v>
      </c>
      <c r="W236" s="348"/>
      <c r="X236" s="1531"/>
      <c r="Y236" s="1504" t="s">
        <v>636</v>
      </c>
      <c r="Z236" s="1505"/>
      <c r="AA236" s="1506"/>
      <c r="AB236" s="817"/>
      <c r="AC236" s="862"/>
      <c r="AD236" s="1184" t="s">
        <v>29</v>
      </c>
      <c r="AE236" s="276"/>
      <c r="AF236" s="1504" t="s">
        <v>636</v>
      </c>
      <c r="AG236" s="1505"/>
      <c r="AH236" s="1506"/>
      <c r="AI236" s="817"/>
      <c r="AJ236" s="862"/>
      <c r="AK236" s="554" t="s">
        <v>29</v>
      </c>
      <c r="AL236" s="276"/>
      <c r="AM236" s="1504" t="s">
        <v>636</v>
      </c>
      <c r="AN236" s="1505"/>
      <c r="AO236" s="1506"/>
      <c r="AP236" s="817"/>
      <c r="AQ236" s="818"/>
      <c r="AR236" s="1184" t="s">
        <v>29</v>
      </c>
      <c r="AS236" s="348"/>
    </row>
    <row r="237" spans="1:45" ht="15.6" hidden="1" customHeight="1" x14ac:dyDescent="0.25">
      <c r="B237" s="1531"/>
      <c r="C237" s="1504" t="s">
        <v>636</v>
      </c>
      <c r="D237" s="1505"/>
      <c r="E237" s="1506"/>
      <c r="F237" s="817"/>
      <c r="G237" s="862"/>
      <c r="H237" s="1184" t="s">
        <v>29</v>
      </c>
      <c r="I237" s="276"/>
      <c r="J237" s="1504" t="s">
        <v>636</v>
      </c>
      <c r="K237" s="1505"/>
      <c r="L237" s="1506"/>
      <c r="M237" s="817"/>
      <c r="N237" s="862"/>
      <c r="O237" s="554" t="s">
        <v>29</v>
      </c>
      <c r="P237" s="276"/>
      <c r="Q237" s="1504" t="s">
        <v>636</v>
      </c>
      <c r="R237" s="1505"/>
      <c r="S237" s="1506"/>
      <c r="T237" s="817"/>
      <c r="U237" s="818"/>
      <c r="V237" s="1184" t="s">
        <v>29</v>
      </c>
      <c r="W237" s="348"/>
      <c r="X237" s="1531"/>
      <c r="Y237" s="1504" t="s">
        <v>636</v>
      </c>
      <c r="Z237" s="1505"/>
      <c r="AA237" s="1506"/>
      <c r="AB237" s="817"/>
      <c r="AC237" s="862"/>
      <c r="AD237" s="1184" t="s">
        <v>29</v>
      </c>
      <c r="AE237" s="276"/>
      <c r="AF237" s="1504" t="s">
        <v>636</v>
      </c>
      <c r="AG237" s="1505"/>
      <c r="AH237" s="1506"/>
      <c r="AI237" s="817"/>
      <c r="AJ237" s="862"/>
      <c r="AK237" s="554" t="s">
        <v>29</v>
      </c>
      <c r="AL237" s="276"/>
      <c r="AM237" s="1504" t="s">
        <v>636</v>
      </c>
      <c r="AN237" s="1505"/>
      <c r="AO237" s="1506"/>
      <c r="AP237" s="817"/>
      <c r="AQ237" s="818"/>
      <c r="AR237" s="1184" t="s">
        <v>29</v>
      </c>
      <c r="AS237" s="348"/>
    </row>
    <row r="238" spans="1:45" ht="15.6" hidden="1" customHeight="1" x14ac:dyDescent="0.25">
      <c r="B238" s="1531"/>
      <c r="C238" s="1504" t="s">
        <v>636</v>
      </c>
      <c r="D238" s="1505"/>
      <c r="E238" s="1506"/>
      <c r="F238" s="817"/>
      <c r="G238" s="862"/>
      <c r="H238" s="1184" t="s">
        <v>29</v>
      </c>
      <c r="I238" s="276"/>
      <c r="J238" s="1504" t="s">
        <v>636</v>
      </c>
      <c r="K238" s="1505"/>
      <c r="L238" s="1506"/>
      <c r="M238" s="817"/>
      <c r="N238" s="862"/>
      <c r="O238" s="554" t="s">
        <v>29</v>
      </c>
      <c r="P238" s="276"/>
      <c r="Q238" s="1504" t="s">
        <v>636</v>
      </c>
      <c r="R238" s="1505"/>
      <c r="S238" s="1506"/>
      <c r="T238" s="817"/>
      <c r="U238" s="818"/>
      <c r="V238" s="1184" t="s">
        <v>29</v>
      </c>
      <c r="W238" s="348"/>
      <c r="X238" s="1531"/>
      <c r="Y238" s="1504" t="s">
        <v>636</v>
      </c>
      <c r="Z238" s="1505"/>
      <c r="AA238" s="1506"/>
      <c r="AB238" s="817"/>
      <c r="AC238" s="862"/>
      <c r="AD238" s="1184" t="s">
        <v>29</v>
      </c>
      <c r="AE238" s="276"/>
      <c r="AF238" s="1504" t="s">
        <v>636</v>
      </c>
      <c r="AG238" s="1505"/>
      <c r="AH238" s="1506"/>
      <c r="AI238" s="817"/>
      <c r="AJ238" s="862"/>
      <c r="AK238" s="554" t="s">
        <v>29</v>
      </c>
      <c r="AL238" s="276"/>
      <c r="AM238" s="1504" t="s">
        <v>636</v>
      </c>
      <c r="AN238" s="1505"/>
      <c r="AO238" s="1506"/>
      <c r="AP238" s="817"/>
      <c r="AQ238" s="818"/>
      <c r="AR238" s="1184" t="s">
        <v>29</v>
      </c>
      <c r="AS238" s="348"/>
    </row>
    <row r="239" spans="1:45" ht="15.6" hidden="1" customHeight="1" x14ac:dyDescent="0.25">
      <c r="B239" s="1531"/>
      <c r="C239" s="1504" t="s">
        <v>636</v>
      </c>
      <c r="D239" s="1505"/>
      <c r="E239" s="1506"/>
      <c r="F239" s="817"/>
      <c r="G239" s="862"/>
      <c r="H239" s="1184" t="s">
        <v>29</v>
      </c>
      <c r="I239" s="276"/>
      <c r="J239" s="1504" t="s">
        <v>636</v>
      </c>
      <c r="K239" s="1505"/>
      <c r="L239" s="1506"/>
      <c r="M239" s="817"/>
      <c r="N239" s="862"/>
      <c r="O239" s="554" t="s">
        <v>29</v>
      </c>
      <c r="P239" s="276"/>
      <c r="Q239" s="1504" t="s">
        <v>636</v>
      </c>
      <c r="R239" s="1505"/>
      <c r="S239" s="1506"/>
      <c r="T239" s="817"/>
      <c r="U239" s="818"/>
      <c r="V239" s="1184" t="s">
        <v>29</v>
      </c>
      <c r="W239" s="348"/>
      <c r="X239" s="1531"/>
      <c r="Y239" s="1504" t="s">
        <v>636</v>
      </c>
      <c r="Z239" s="1505"/>
      <c r="AA239" s="1506"/>
      <c r="AB239" s="817"/>
      <c r="AC239" s="862"/>
      <c r="AD239" s="1184" t="s">
        <v>29</v>
      </c>
      <c r="AE239" s="276"/>
      <c r="AF239" s="1504" t="s">
        <v>636</v>
      </c>
      <c r="AG239" s="1505"/>
      <c r="AH239" s="1506"/>
      <c r="AI239" s="817"/>
      <c r="AJ239" s="862"/>
      <c r="AK239" s="554" t="s">
        <v>29</v>
      </c>
      <c r="AL239" s="276"/>
      <c r="AM239" s="1504" t="s">
        <v>636</v>
      </c>
      <c r="AN239" s="1505"/>
      <c r="AO239" s="1506"/>
      <c r="AP239" s="817"/>
      <c r="AQ239" s="818"/>
      <c r="AR239" s="1184" t="s">
        <v>29</v>
      </c>
      <c r="AS239" s="348"/>
    </row>
    <row r="240" spans="1:45" ht="15.6" hidden="1" customHeight="1" x14ac:dyDescent="0.25">
      <c r="B240" s="1531"/>
      <c r="C240" s="1507" t="s">
        <v>840</v>
      </c>
      <c r="D240" s="1507"/>
      <c r="E240" s="1507"/>
      <c r="F240" s="1189">
        <v>120</v>
      </c>
      <c r="G240" s="887" t="s">
        <v>32</v>
      </c>
      <c r="H240" s="382"/>
      <c r="I240" s="276"/>
      <c r="J240" s="1507" t="s">
        <v>840</v>
      </c>
      <c r="K240" s="1507"/>
      <c r="L240" s="1507"/>
      <c r="M240" s="1189">
        <v>120</v>
      </c>
      <c r="N240" s="887" t="s">
        <v>32</v>
      </c>
      <c r="O240" s="801"/>
      <c r="P240" s="276"/>
      <c r="Q240" s="1507" t="s">
        <v>840</v>
      </c>
      <c r="R240" s="1507"/>
      <c r="S240" s="1507"/>
      <c r="T240" s="1189">
        <v>120</v>
      </c>
      <c r="U240" s="887" t="s">
        <v>32</v>
      </c>
      <c r="V240" s="276"/>
      <c r="W240" s="348"/>
      <c r="X240" s="1531"/>
      <c r="Y240" s="1507" t="s">
        <v>840</v>
      </c>
      <c r="Z240" s="1507"/>
      <c r="AA240" s="1507"/>
      <c r="AB240" s="1189">
        <v>120</v>
      </c>
      <c r="AC240" s="887" t="s">
        <v>32</v>
      </c>
      <c r="AD240" s="382"/>
      <c r="AE240" s="276"/>
      <c r="AF240" s="1507" t="s">
        <v>840</v>
      </c>
      <c r="AG240" s="1507"/>
      <c r="AH240" s="1507"/>
      <c r="AI240" s="1189">
        <v>120</v>
      </c>
      <c r="AJ240" s="887" t="s">
        <v>32</v>
      </c>
      <c r="AK240" s="801"/>
      <c r="AL240" s="276"/>
      <c r="AM240" s="1507" t="s">
        <v>840</v>
      </c>
      <c r="AN240" s="1507"/>
      <c r="AO240" s="1507"/>
      <c r="AP240" s="1189">
        <v>120</v>
      </c>
      <c r="AQ240" s="887" t="s">
        <v>32</v>
      </c>
      <c r="AR240" s="276"/>
      <c r="AS240" s="348"/>
    </row>
    <row r="241" spans="2:45" ht="15.6" hidden="1" customHeight="1" x14ac:dyDescent="0.25">
      <c r="B241" s="1531"/>
      <c r="C241" s="1510" t="s">
        <v>842</v>
      </c>
      <c r="D241" s="1508"/>
      <c r="E241" s="1508"/>
      <c r="F241" s="1509"/>
      <c r="G241" s="386">
        <v>64.5</v>
      </c>
      <c r="H241" s="51" t="s">
        <v>764</v>
      </c>
      <c r="I241" s="276"/>
      <c r="J241" s="1510" t="s">
        <v>843</v>
      </c>
      <c r="K241" s="1508"/>
      <c r="L241" s="1508"/>
      <c r="M241" s="1509"/>
      <c r="N241" s="386">
        <v>64</v>
      </c>
      <c r="O241" s="51" t="s">
        <v>764</v>
      </c>
      <c r="P241" s="387"/>
      <c r="Q241" s="1510" t="s">
        <v>844</v>
      </c>
      <c r="R241" s="1508"/>
      <c r="S241" s="1508"/>
      <c r="T241" s="1509"/>
      <c r="U241" s="386">
        <v>67.83</v>
      </c>
      <c r="V241" s="51" t="s">
        <v>766</v>
      </c>
      <c r="W241" s="888"/>
      <c r="X241" s="1531"/>
      <c r="Y241" s="1510" t="s">
        <v>842</v>
      </c>
      <c r="Z241" s="1508"/>
      <c r="AA241" s="1508"/>
      <c r="AB241" s="1509"/>
      <c r="AC241" s="386">
        <v>65.17</v>
      </c>
      <c r="AD241" s="51" t="s">
        <v>765</v>
      </c>
      <c r="AE241" s="276"/>
      <c r="AF241" s="1510" t="s">
        <v>843</v>
      </c>
      <c r="AG241" s="1508"/>
      <c r="AH241" s="1508"/>
      <c r="AI241" s="1509"/>
      <c r="AJ241" s="386">
        <v>52.67</v>
      </c>
      <c r="AK241" s="51" t="s">
        <v>760</v>
      </c>
      <c r="AL241" s="387"/>
      <c r="AM241" s="1510" t="s">
        <v>844</v>
      </c>
      <c r="AN241" s="1508"/>
      <c r="AO241" s="1508"/>
      <c r="AP241" s="1509"/>
      <c r="AQ241" s="386">
        <v>73.67</v>
      </c>
      <c r="AR241" s="51" t="s">
        <v>768</v>
      </c>
      <c r="AS241" s="888"/>
    </row>
    <row r="242" spans="2:45" ht="15.6" hidden="1" customHeight="1" x14ac:dyDescent="0.25">
      <c r="B242" s="1531"/>
      <c r="C242" s="398"/>
      <c r="D242" s="398"/>
      <c r="E242" s="398"/>
      <c r="F242" s="276"/>
      <c r="G242" s="276"/>
      <c r="H242" s="276"/>
      <c r="I242" s="1189"/>
      <c r="J242" s="276"/>
      <c r="K242" s="276"/>
      <c r="L242" s="276"/>
      <c r="M242" s="398"/>
      <c r="N242" s="399"/>
      <c r="O242" s="276"/>
      <c r="P242" s="387"/>
      <c r="Q242" s="400"/>
      <c r="R242" s="400"/>
      <c r="S242" s="400"/>
      <c r="T242" s="1189"/>
      <c r="U242" s="260"/>
      <c r="V242" s="260"/>
      <c r="W242" s="888"/>
      <c r="X242" s="1531"/>
      <c r="Y242" s="398"/>
      <c r="Z242" s="398"/>
      <c r="AA242" s="398"/>
      <c r="AB242" s="276"/>
      <c r="AC242" s="276"/>
      <c r="AD242" s="276"/>
      <c r="AE242" s="1189"/>
      <c r="AF242" s="276"/>
      <c r="AG242" s="276"/>
      <c r="AH242" s="276"/>
      <c r="AI242" s="398"/>
      <c r="AJ242" s="399"/>
      <c r="AK242" s="276"/>
      <c r="AL242" s="387"/>
      <c r="AM242" s="400"/>
      <c r="AN242" s="400"/>
      <c r="AO242" s="400"/>
      <c r="AP242" s="1189"/>
      <c r="AQ242" s="260"/>
      <c r="AR242" s="260"/>
      <c r="AS242" s="888"/>
    </row>
    <row r="243" spans="2:45" ht="15.6" hidden="1" customHeight="1" x14ac:dyDescent="0.25">
      <c r="B243" s="1531"/>
      <c r="C243" s="1536" t="s">
        <v>1143</v>
      </c>
      <c r="D243" s="1511"/>
      <c r="E243" s="1511"/>
      <c r="F243" s="1140">
        <v>65.914999999999992</v>
      </c>
      <c r="G243" s="1139"/>
      <c r="H243" s="1139"/>
      <c r="I243" s="1139"/>
      <c r="J243" s="1139"/>
      <c r="K243" s="1139"/>
      <c r="L243" s="1139"/>
      <c r="M243" s="1139"/>
      <c r="N243" s="1139"/>
      <c r="O243" s="1139"/>
      <c r="P243" s="1139"/>
      <c r="Q243" s="1139"/>
      <c r="R243" s="1139"/>
      <c r="S243" s="1139"/>
      <c r="T243" s="1115" t="s">
        <v>848</v>
      </c>
      <c r="U243" s="406">
        <v>65.44</v>
      </c>
      <c r="V243" s="407" t="s">
        <v>765</v>
      </c>
      <c r="W243" s="888"/>
      <c r="X243" s="1531"/>
      <c r="Y243" s="1536" t="s">
        <v>1143</v>
      </c>
      <c r="Z243" s="1511"/>
      <c r="AA243" s="1511"/>
      <c r="AB243" s="1140">
        <v>63.17</v>
      </c>
      <c r="AC243" s="1139"/>
      <c r="AD243" s="1139"/>
      <c r="AE243" s="1139"/>
      <c r="AF243" s="1139"/>
      <c r="AG243" s="1139"/>
      <c r="AH243" s="1139"/>
      <c r="AI243" s="1139"/>
      <c r="AJ243" s="1139"/>
      <c r="AK243" s="1139"/>
      <c r="AL243" s="1139"/>
      <c r="AM243" s="1139"/>
      <c r="AN243" s="1139"/>
      <c r="AO243" s="1139"/>
      <c r="AP243" s="1115" t="s">
        <v>848</v>
      </c>
      <c r="AQ243" s="406">
        <v>63.84</v>
      </c>
      <c r="AR243" s="407" t="s">
        <v>764</v>
      </c>
      <c r="AS243" s="888"/>
    </row>
    <row r="244" spans="2:45" ht="15.6" hidden="1" customHeight="1" x14ac:dyDescent="0.25">
      <c r="B244" s="1531"/>
      <c r="C244" s="132"/>
      <c r="D244" s="132"/>
      <c r="E244" s="132"/>
      <c r="F244" s="801"/>
      <c r="G244" s="801"/>
      <c r="H244" s="801"/>
      <c r="I244" s="40"/>
      <c r="J244" s="801"/>
      <c r="K244" s="801"/>
      <c r="L244" s="801"/>
      <c r="M244" s="132"/>
      <c r="N244" s="411"/>
      <c r="O244" s="801"/>
      <c r="P244" s="342"/>
      <c r="Q244" s="412"/>
      <c r="R244" s="412"/>
      <c r="S244" s="412"/>
      <c r="T244" s="433"/>
      <c r="U244" s="783"/>
      <c r="V244" s="373"/>
      <c r="W244" s="888"/>
      <c r="X244" s="1531"/>
      <c r="Y244" s="132"/>
      <c r="Z244" s="132"/>
      <c r="AA244" s="132"/>
      <c r="AB244" s="801"/>
      <c r="AC244" s="801"/>
      <c r="AD244" s="801"/>
      <c r="AE244" s="40"/>
      <c r="AF244" s="801"/>
      <c r="AG244" s="801"/>
      <c r="AH244" s="801"/>
      <c r="AI244" s="132"/>
      <c r="AJ244" s="411"/>
      <c r="AK244" s="801"/>
      <c r="AL244" s="342"/>
      <c r="AM244" s="412"/>
      <c r="AN244" s="412"/>
      <c r="AO244" s="412"/>
      <c r="AP244" s="433"/>
      <c r="AQ244" s="783"/>
      <c r="AR244" s="373"/>
      <c r="AS244" s="888"/>
    </row>
    <row r="245" spans="2:45" ht="15.6" hidden="1" customHeight="1" x14ac:dyDescent="0.25">
      <c r="B245" s="1531"/>
      <c r="C245" s="1181" t="s">
        <v>852</v>
      </c>
      <c r="D245" s="1182"/>
      <c r="E245" s="1182"/>
      <c r="F245" s="1182"/>
      <c r="G245" s="1182"/>
      <c r="H245" s="1077"/>
      <c r="I245" s="1182"/>
      <c r="J245" s="1183"/>
      <c r="K245" s="1487" t="s">
        <v>950</v>
      </c>
      <c r="L245" s="1488"/>
      <c r="M245" s="1488"/>
      <c r="N245" s="1489"/>
      <c r="O245" s="1490" t="s">
        <v>807</v>
      </c>
      <c r="P245" s="1491"/>
      <c r="Q245" s="1494" t="s">
        <v>992</v>
      </c>
      <c r="R245" s="1495"/>
      <c r="S245" s="1498" t="s">
        <v>993</v>
      </c>
      <c r="T245" s="801"/>
      <c r="U245" s="784"/>
      <c r="V245" s="373"/>
      <c r="W245" s="888"/>
      <c r="X245" s="1531"/>
      <c r="Y245" s="1181" t="s">
        <v>852</v>
      </c>
      <c r="Z245" s="1182"/>
      <c r="AA245" s="1182"/>
      <c r="AB245" s="1182"/>
      <c r="AC245" s="1182"/>
      <c r="AD245" s="1077"/>
      <c r="AE245" s="1182"/>
      <c r="AF245" s="1183"/>
      <c r="AG245" s="1487" t="s">
        <v>950</v>
      </c>
      <c r="AH245" s="1488"/>
      <c r="AI245" s="1488"/>
      <c r="AJ245" s="1489"/>
      <c r="AK245" s="1490" t="s">
        <v>807</v>
      </c>
      <c r="AL245" s="1491"/>
      <c r="AM245" s="1494" t="s">
        <v>992</v>
      </c>
      <c r="AN245" s="1495"/>
      <c r="AO245" s="1498" t="s">
        <v>993</v>
      </c>
      <c r="AP245" s="801"/>
      <c r="AQ245" s="784"/>
      <c r="AR245" s="373"/>
      <c r="AS245" s="888"/>
    </row>
    <row r="246" spans="2:45" ht="15.6" hidden="1" customHeight="1" x14ac:dyDescent="0.25">
      <c r="B246" s="1531"/>
      <c r="C246" s="1078" t="s">
        <v>955</v>
      </c>
      <c r="D246" s="1030"/>
      <c r="E246" s="1045"/>
      <c r="F246" s="1079"/>
      <c r="G246" s="1080" t="s">
        <v>948</v>
      </c>
      <c r="H246" s="1082" t="s">
        <v>1127</v>
      </c>
      <c r="I246" s="1500" t="s">
        <v>991</v>
      </c>
      <c r="J246" s="1501"/>
      <c r="K246" s="1188" t="s">
        <v>13</v>
      </c>
      <c r="L246" s="698" t="s">
        <v>14</v>
      </c>
      <c r="M246" s="698" t="s">
        <v>15</v>
      </c>
      <c r="N246" s="698" t="s">
        <v>949</v>
      </c>
      <c r="O246" s="1492"/>
      <c r="P246" s="1493"/>
      <c r="Q246" s="1496"/>
      <c r="R246" s="1497"/>
      <c r="S246" s="1499"/>
      <c r="T246" s="801"/>
      <c r="U246" s="801"/>
      <c r="V246" s="801"/>
      <c r="W246" s="888"/>
      <c r="X246" s="1531"/>
      <c r="Y246" s="1078" t="s">
        <v>955</v>
      </c>
      <c r="Z246" s="1030"/>
      <c r="AA246" s="1045"/>
      <c r="AB246" s="1079"/>
      <c r="AC246" s="1080" t="s">
        <v>948</v>
      </c>
      <c r="AD246" s="1082" t="s">
        <v>1127</v>
      </c>
      <c r="AE246" s="1500" t="s">
        <v>991</v>
      </c>
      <c r="AF246" s="1501"/>
      <c r="AG246" s="1188" t="s">
        <v>13</v>
      </c>
      <c r="AH246" s="698" t="s">
        <v>14</v>
      </c>
      <c r="AI246" s="698" t="s">
        <v>15</v>
      </c>
      <c r="AJ246" s="698" t="s">
        <v>949</v>
      </c>
      <c r="AK246" s="1492"/>
      <c r="AL246" s="1493"/>
      <c r="AM246" s="1496"/>
      <c r="AN246" s="1497"/>
      <c r="AO246" s="1499"/>
      <c r="AP246" s="801"/>
      <c r="AQ246" s="801"/>
      <c r="AR246" s="801"/>
      <c r="AS246" s="888"/>
    </row>
    <row r="247" spans="2:45" ht="15.6" hidden="1" customHeight="1" x14ac:dyDescent="0.25">
      <c r="B247" s="1531"/>
      <c r="C247" s="690" t="s">
        <v>945</v>
      </c>
      <c r="D247" s="692"/>
      <c r="E247" s="692"/>
      <c r="F247" s="692"/>
      <c r="G247" s="313"/>
      <c r="H247" s="313"/>
      <c r="I247" s="312"/>
      <c r="J247" s="313"/>
      <c r="K247" s="313"/>
      <c r="L247" s="313"/>
      <c r="M247" s="702"/>
      <c r="N247" s="1044"/>
      <c r="O247" s="1044"/>
      <c r="P247" s="424"/>
      <c r="Q247" s="702"/>
      <c r="R247" s="702"/>
      <c r="S247" s="1081"/>
      <c r="T247" s="1078"/>
      <c r="U247" s="1502" t="s">
        <v>1129</v>
      </c>
      <c r="V247" s="1502"/>
      <c r="W247" s="888"/>
      <c r="X247" s="1531"/>
      <c r="Y247" s="690" t="s">
        <v>945</v>
      </c>
      <c r="Z247" s="692"/>
      <c r="AA247" s="692"/>
      <c r="AB247" s="692"/>
      <c r="AC247" s="313"/>
      <c r="AD247" s="313"/>
      <c r="AE247" s="312"/>
      <c r="AF247" s="313"/>
      <c r="AG247" s="313"/>
      <c r="AH247" s="313"/>
      <c r="AI247" s="702"/>
      <c r="AJ247" s="1044"/>
      <c r="AK247" s="1044"/>
      <c r="AL247" s="424"/>
      <c r="AM247" s="702"/>
      <c r="AN247" s="702"/>
      <c r="AO247" s="1081"/>
      <c r="AP247" s="1078"/>
      <c r="AQ247" s="1502" t="s">
        <v>1129</v>
      </c>
      <c r="AR247" s="1502"/>
      <c r="AS247" s="888"/>
    </row>
    <row r="248" spans="2:45" ht="15.6" hidden="1" customHeight="1" x14ac:dyDescent="0.25">
      <c r="B248" s="1531"/>
      <c r="C248" s="431" t="s">
        <v>28</v>
      </c>
      <c r="D248" s="687"/>
      <c r="E248" s="687"/>
      <c r="F248" s="687"/>
      <c r="G248" s="689">
        <v>1</v>
      </c>
      <c r="H248" s="1083">
        <v>1</v>
      </c>
      <c r="I248" s="1472">
        <v>360</v>
      </c>
      <c r="J248" s="1472"/>
      <c r="K248" s="618">
        <v>0</v>
      </c>
      <c r="L248" s="618">
        <v>0</v>
      </c>
      <c r="M248" s="618">
        <v>0</v>
      </c>
      <c r="N248" s="618">
        <v>0</v>
      </c>
      <c r="O248" s="1466" t="s">
        <v>1128</v>
      </c>
      <c r="P248" s="1466"/>
      <c r="Q248" s="1473">
        <v>66.739999999999995</v>
      </c>
      <c r="R248" s="1474"/>
      <c r="S248" s="707">
        <v>0</v>
      </c>
      <c r="T248" s="132"/>
      <c r="U248" s="1502"/>
      <c r="V248" s="1502"/>
      <c r="W248" s="1098"/>
      <c r="X248" s="1531"/>
      <c r="Y248" s="431" t="s">
        <v>28</v>
      </c>
      <c r="Z248" s="687"/>
      <c r="AA248" s="687"/>
      <c r="AB248" s="687"/>
      <c r="AC248" s="689">
        <v>1</v>
      </c>
      <c r="AD248" s="1083">
        <v>1</v>
      </c>
      <c r="AE248" s="1472">
        <v>360</v>
      </c>
      <c r="AF248" s="1472"/>
      <c r="AG248" s="618">
        <v>0</v>
      </c>
      <c r="AH248" s="618">
        <v>0</v>
      </c>
      <c r="AI248" s="618">
        <v>0</v>
      </c>
      <c r="AJ248" s="618">
        <v>0</v>
      </c>
      <c r="AK248" s="1466" t="s">
        <v>1128</v>
      </c>
      <c r="AL248" s="1466"/>
      <c r="AM248" s="1473">
        <v>67.83</v>
      </c>
      <c r="AN248" s="1474"/>
      <c r="AO248" s="707">
        <v>0</v>
      </c>
      <c r="AP248" s="132"/>
      <c r="AQ248" s="1502"/>
      <c r="AR248" s="1502"/>
      <c r="AS248" s="1098"/>
    </row>
    <row r="249" spans="2:45" ht="15.6" hidden="1" customHeight="1" x14ac:dyDescent="0.25">
      <c r="B249" s="1531"/>
      <c r="C249" s="431" t="s">
        <v>59</v>
      </c>
      <c r="D249" s="687"/>
      <c r="E249" s="687"/>
      <c r="F249" s="687"/>
      <c r="G249" s="685">
        <v>1</v>
      </c>
      <c r="H249" s="1084">
        <v>1</v>
      </c>
      <c r="I249" s="1477">
        <v>360</v>
      </c>
      <c r="J249" s="1477"/>
      <c r="K249" s="684">
        <v>0</v>
      </c>
      <c r="L249" s="684">
        <v>0</v>
      </c>
      <c r="M249" s="684">
        <v>0</v>
      </c>
      <c r="N249" s="684">
        <v>0</v>
      </c>
      <c r="O249" s="1466" t="s">
        <v>1128</v>
      </c>
      <c r="P249" s="1466"/>
      <c r="Q249" s="1467">
        <v>67.27</v>
      </c>
      <c r="R249" s="1468"/>
      <c r="S249" s="707">
        <v>0</v>
      </c>
      <c r="T249" s="706">
        <v>0</v>
      </c>
      <c r="U249" s="1503"/>
      <c r="V249" s="1503"/>
      <c r="W249" s="1190"/>
      <c r="X249" s="1531"/>
      <c r="Y249" s="431" t="s">
        <v>59</v>
      </c>
      <c r="Z249" s="687"/>
      <c r="AA249" s="687"/>
      <c r="AB249" s="687"/>
      <c r="AC249" s="685">
        <v>1</v>
      </c>
      <c r="AD249" s="1084">
        <v>1</v>
      </c>
      <c r="AE249" s="1477">
        <v>360</v>
      </c>
      <c r="AF249" s="1477"/>
      <c r="AG249" s="684">
        <v>0</v>
      </c>
      <c r="AH249" s="684">
        <v>0</v>
      </c>
      <c r="AI249" s="684">
        <v>0</v>
      </c>
      <c r="AJ249" s="684">
        <v>0</v>
      </c>
      <c r="AK249" s="1466" t="s">
        <v>1128</v>
      </c>
      <c r="AL249" s="1466"/>
      <c r="AM249" s="1467">
        <v>69.33</v>
      </c>
      <c r="AN249" s="1468"/>
      <c r="AO249" s="707" t="s">
        <v>32</v>
      </c>
      <c r="AP249" s="706">
        <v>0</v>
      </c>
      <c r="AQ249" s="1503"/>
      <c r="AR249" s="1503"/>
      <c r="AS249" s="1190"/>
    </row>
    <row r="250" spans="2:45" ht="15.6" hidden="1" customHeight="1" x14ac:dyDescent="0.25">
      <c r="B250" s="1531"/>
      <c r="C250" s="431" t="s">
        <v>34</v>
      </c>
      <c r="D250" s="687"/>
      <c r="E250" s="687"/>
      <c r="F250" s="687"/>
      <c r="G250" s="686">
        <v>2</v>
      </c>
      <c r="H250" s="1085">
        <v>2</v>
      </c>
      <c r="I250" s="1477">
        <v>360</v>
      </c>
      <c r="J250" s="1477"/>
      <c r="K250" s="684">
        <v>0</v>
      </c>
      <c r="L250" s="684">
        <v>0</v>
      </c>
      <c r="M250" s="684">
        <v>0</v>
      </c>
      <c r="N250" s="684">
        <v>0</v>
      </c>
      <c r="O250" s="1477" t="s">
        <v>38</v>
      </c>
      <c r="P250" s="1477"/>
      <c r="Q250" s="1467">
        <v>66.349999999999994</v>
      </c>
      <c r="R250" s="1468"/>
      <c r="S250" s="707">
        <v>0</v>
      </c>
      <c r="T250" s="132"/>
      <c r="U250" s="196" t="s">
        <v>781</v>
      </c>
      <c r="V250" s="196">
        <v>0</v>
      </c>
      <c r="W250" s="348"/>
      <c r="X250" s="1531"/>
      <c r="Y250" s="431" t="s">
        <v>34</v>
      </c>
      <c r="Z250" s="687"/>
      <c r="AA250" s="687"/>
      <c r="AB250" s="687"/>
      <c r="AC250" s="686">
        <v>2</v>
      </c>
      <c r="AD250" s="1085">
        <v>2</v>
      </c>
      <c r="AE250" s="1477">
        <v>360</v>
      </c>
      <c r="AF250" s="1477"/>
      <c r="AG250" s="684">
        <v>0</v>
      </c>
      <c r="AH250" s="684">
        <v>0</v>
      </c>
      <c r="AI250" s="684">
        <v>0</v>
      </c>
      <c r="AJ250" s="684">
        <v>0</v>
      </c>
      <c r="AK250" s="1477" t="s">
        <v>38</v>
      </c>
      <c r="AL250" s="1477"/>
      <c r="AM250" s="1467">
        <v>66.52</v>
      </c>
      <c r="AN250" s="1468"/>
      <c r="AO250" s="707">
        <v>0</v>
      </c>
      <c r="AP250" s="132"/>
      <c r="AQ250" s="196" t="s">
        <v>781</v>
      </c>
      <c r="AR250" s="196">
        <v>30</v>
      </c>
      <c r="AS250" s="348"/>
    </row>
    <row r="251" spans="2:45" ht="15.6" hidden="1" customHeight="1" x14ac:dyDescent="0.25">
      <c r="B251" s="1531"/>
      <c r="C251" s="431" t="s">
        <v>44</v>
      </c>
      <c r="D251" s="687"/>
      <c r="E251" s="687"/>
      <c r="F251" s="687"/>
      <c r="G251" s="686">
        <v>3</v>
      </c>
      <c r="H251" s="1085">
        <v>1</v>
      </c>
      <c r="I251" s="1477">
        <v>320</v>
      </c>
      <c r="J251" s="1477"/>
      <c r="K251" s="684">
        <v>40</v>
      </c>
      <c r="L251" s="684">
        <v>0</v>
      </c>
      <c r="M251" s="684">
        <v>0</v>
      </c>
      <c r="N251" s="684">
        <v>40</v>
      </c>
      <c r="O251" s="1477" t="s">
        <v>38</v>
      </c>
      <c r="P251" s="1477"/>
      <c r="Q251" s="1467">
        <v>66.72</v>
      </c>
      <c r="R251" s="1468"/>
      <c r="S251" s="707">
        <v>0</v>
      </c>
      <c r="T251" s="132"/>
      <c r="U251" s="196" t="s">
        <v>803</v>
      </c>
      <c r="V251" s="196">
        <v>122</v>
      </c>
      <c r="W251" s="348"/>
      <c r="X251" s="1531"/>
      <c r="Y251" s="431" t="s">
        <v>44</v>
      </c>
      <c r="Z251" s="687"/>
      <c r="AA251" s="687"/>
      <c r="AB251" s="687"/>
      <c r="AC251" s="686">
        <v>3</v>
      </c>
      <c r="AD251" s="1085">
        <v>1</v>
      </c>
      <c r="AE251" s="1477">
        <v>320</v>
      </c>
      <c r="AF251" s="1477"/>
      <c r="AG251" s="684">
        <v>40</v>
      </c>
      <c r="AH251" s="684">
        <v>0</v>
      </c>
      <c r="AI251" s="684">
        <v>0</v>
      </c>
      <c r="AJ251" s="684">
        <v>40</v>
      </c>
      <c r="AK251" s="1477" t="s">
        <v>38</v>
      </c>
      <c r="AL251" s="1477"/>
      <c r="AM251" s="1467">
        <v>67</v>
      </c>
      <c r="AN251" s="1468"/>
      <c r="AO251" s="707">
        <v>0</v>
      </c>
      <c r="AP251" s="132"/>
      <c r="AQ251" s="196" t="s">
        <v>803</v>
      </c>
      <c r="AR251" s="196">
        <v>92</v>
      </c>
      <c r="AS251" s="348"/>
    </row>
    <row r="252" spans="2:45" ht="15.6" hidden="1" customHeight="1" x14ac:dyDescent="0.25">
      <c r="B252" s="1531"/>
      <c r="C252" s="431" t="s">
        <v>51</v>
      </c>
      <c r="D252" s="687"/>
      <c r="E252" s="687"/>
      <c r="F252" s="687"/>
      <c r="G252" s="686">
        <v>4</v>
      </c>
      <c r="H252" s="1085">
        <v>1</v>
      </c>
      <c r="I252" s="1477">
        <v>300</v>
      </c>
      <c r="J252" s="1477"/>
      <c r="K252" s="684">
        <v>60</v>
      </c>
      <c r="L252" s="684">
        <v>0</v>
      </c>
      <c r="M252" s="684">
        <v>0</v>
      </c>
      <c r="N252" s="684">
        <v>60</v>
      </c>
      <c r="O252" s="1485" t="s">
        <v>54</v>
      </c>
      <c r="P252" s="1485"/>
      <c r="Q252" s="1467">
        <v>67.39</v>
      </c>
      <c r="R252" s="1468"/>
      <c r="S252" s="707">
        <v>0</v>
      </c>
      <c r="T252" s="132"/>
      <c r="U252" s="196" t="s">
        <v>802</v>
      </c>
      <c r="V252" s="196">
        <v>0</v>
      </c>
      <c r="W252" s="348"/>
      <c r="X252" s="1531"/>
      <c r="Y252" s="431" t="s">
        <v>51</v>
      </c>
      <c r="Z252" s="687"/>
      <c r="AA252" s="687"/>
      <c r="AB252" s="687"/>
      <c r="AC252" s="686">
        <v>4</v>
      </c>
      <c r="AD252" s="1085">
        <v>1</v>
      </c>
      <c r="AE252" s="1477">
        <v>300</v>
      </c>
      <c r="AF252" s="1477"/>
      <c r="AG252" s="684">
        <v>60</v>
      </c>
      <c r="AH252" s="684">
        <v>0</v>
      </c>
      <c r="AI252" s="684">
        <v>0</v>
      </c>
      <c r="AJ252" s="684">
        <v>60</v>
      </c>
      <c r="AK252" s="1485" t="s">
        <v>54</v>
      </c>
      <c r="AL252" s="1485"/>
      <c r="AM252" s="1467">
        <v>66.22</v>
      </c>
      <c r="AN252" s="1468"/>
      <c r="AO252" s="707">
        <v>0</v>
      </c>
      <c r="AP252" s="132"/>
      <c r="AQ252" s="196" t="s">
        <v>802</v>
      </c>
      <c r="AR252" s="196">
        <v>0</v>
      </c>
      <c r="AS252" s="348"/>
    </row>
    <row r="253" spans="2:45" ht="15.6" hidden="1" customHeight="1" x14ac:dyDescent="0.25">
      <c r="B253" s="1531"/>
      <c r="C253" s="431" t="s">
        <v>55</v>
      </c>
      <c r="D253" s="687"/>
      <c r="E253" s="687"/>
      <c r="F253" s="687"/>
      <c r="G253" s="453">
        <v>5</v>
      </c>
      <c r="H253" s="1086">
        <v>1</v>
      </c>
      <c r="I253" s="1469">
        <v>300</v>
      </c>
      <c r="J253" s="1469"/>
      <c r="K253" s="617">
        <v>30</v>
      </c>
      <c r="L253" s="617">
        <v>15</v>
      </c>
      <c r="M253" s="617">
        <v>15</v>
      </c>
      <c r="N253" s="617">
        <v>60</v>
      </c>
      <c r="O253" s="1486" t="s">
        <v>33</v>
      </c>
      <c r="P253" s="1486"/>
      <c r="Q253" s="1470">
        <v>66.540000000000006</v>
      </c>
      <c r="R253" s="1471"/>
      <c r="S253" s="707">
        <v>0</v>
      </c>
      <c r="T253" s="132"/>
      <c r="U253" s="196" t="s">
        <v>801</v>
      </c>
      <c r="V253" s="196">
        <v>0</v>
      </c>
      <c r="W253" s="348"/>
      <c r="X253" s="1531"/>
      <c r="Y253" s="431" t="s">
        <v>55</v>
      </c>
      <c r="Z253" s="687"/>
      <c r="AA253" s="687"/>
      <c r="AB253" s="687"/>
      <c r="AC253" s="453">
        <v>5</v>
      </c>
      <c r="AD253" s="1086">
        <v>1</v>
      </c>
      <c r="AE253" s="1469">
        <v>300</v>
      </c>
      <c r="AF253" s="1469"/>
      <c r="AG253" s="617">
        <v>30</v>
      </c>
      <c r="AH253" s="617">
        <v>15</v>
      </c>
      <c r="AI253" s="617">
        <v>15</v>
      </c>
      <c r="AJ253" s="617">
        <v>60</v>
      </c>
      <c r="AK253" s="1486" t="s">
        <v>33</v>
      </c>
      <c r="AL253" s="1486"/>
      <c r="AM253" s="1470">
        <v>66.36</v>
      </c>
      <c r="AN253" s="1471"/>
      <c r="AO253" s="707">
        <v>0</v>
      </c>
      <c r="AP253" s="132"/>
      <c r="AQ253" s="196" t="s">
        <v>801</v>
      </c>
      <c r="AR253" s="196">
        <v>0</v>
      </c>
      <c r="AS253" s="348"/>
    </row>
    <row r="254" spans="2:45" ht="15.6" hidden="1" customHeight="1" x14ac:dyDescent="0.25">
      <c r="B254" s="1531"/>
      <c r="C254" s="690" t="s">
        <v>946</v>
      </c>
      <c r="D254" s="442"/>
      <c r="E254" s="442"/>
      <c r="F254" s="442"/>
      <c r="G254" s="313"/>
      <c r="H254" s="1087" t="s">
        <v>29</v>
      </c>
      <c r="I254" s="691"/>
      <c r="J254" s="312"/>
      <c r="K254" s="1187"/>
      <c r="L254" s="1187"/>
      <c r="M254" s="1187"/>
      <c r="N254" s="1187"/>
      <c r="O254" s="697"/>
      <c r="P254" s="313"/>
      <c r="Q254" s="708"/>
      <c r="R254" s="795"/>
      <c r="S254" s="1075"/>
      <c r="T254" s="132"/>
      <c r="U254" s="196" t="s">
        <v>515</v>
      </c>
      <c r="V254" s="196">
        <v>122</v>
      </c>
      <c r="W254" s="348"/>
      <c r="X254" s="1531"/>
      <c r="Y254" s="690" t="s">
        <v>946</v>
      </c>
      <c r="Z254" s="442"/>
      <c r="AA254" s="442"/>
      <c r="AB254" s="442"/>
      <c r="AC254" s="313"/>
      <c r="AD254" s="1087" t="s">
        <v>29</v>
      </c>
      <c r="AE254" s="691"/>
      <c r="AF254" s="312"/>
      <c r="AG254" s="1187"/>
      <c r="AH254" s="1187"/>
      <c r="AI254" s="1187"/>
      <c r="AJ254" s="1187"/>
      <c r="AK254" s="697"/>
      <c r="AL254" s="313"/>
      <c r="AM254" s="708"/>
      <c r="AN254" s="795"/>
      <c r="AO254" s="1075"/>
      <c r="AP254" s="132"/>
      <c r="AQ254" s="196" t="s">
        <v>515</v>
      </c>
      <c r="AR254" s="196">
        <v>122</v>
      </c>
      <c r="AS254" s="348"/>
    </row>
    <row r="255" spans="2:45" ht="15.6" hidden="1" customHeight="1" x14ac:dyDescent="0.25">
      <c r="B255" s="1531"/>
      <c r="C255" s="431" t="s">
        <v>402</v>
      </c>
      <c r="D255" s="687"/>
      <c r="E255" s="687"/>
      <c r="F255" s="687"/>
      <c r="G255" s="689">
        <v>7</v>
      </c>
      <c r="H255" s="1083">
        <v>1</v>
      </c>
      <c r="I255" s="1472">
        <v>240</v>
      </c>
      <c r="J255" s="1472"/>
      <c r="K255" s="618">
        <v>0</v>
      </c>
      <c r="L255" s="618">
        <v>0</v>
      </c>
      <c r="M255" s="618">
        <v>0</v>
      </c>
      <c r="N255" s="618">
        <v>0</v>
      </c>
      <c r="O255" s="1466" t="s">
        <v>1128</v>
      </c>
      <c r="P255" s="1466"/>
      <c r="Q255" s="1473">
        <v>67.040000000000006</v>
      </c>
      <c r="R255" s="1474"/>
      <c r="S255" s="707">
        <v>0</v>
      </c>
      <c r="T255" s="801"/>
      <c r="U255" s="801"/>
      <c r="V255" s="951"/>
      <c r="W255" s="348"/>
      <c r="X255" s="1531"/>
      <c r="Y255" s="431" t="s">
        <v>402</v>
      </c>
      <c r="Z255" s="687"/>
      <c r="AA255" s="687"/>
      <c r="AB255" s="687"/>
      <c r="AC255" s="689">
        <v>7</v>
      </c>
      <c r="AD255" s="1083">
        <v>1</v>
      </c>
      <c r="AE255" s="1472">
        <v>240</v>
      </c>
      <c r="AF255" s="1472"/>
      <c r="AG255" s="618">
        <v>0</v>
      </c>
      <c r="AH255" s="618">
        <v>0</v>
      </c>
      <c r="AI255" s="618">
        <v>0</v>
      </c>
      <c r="AJ255" s="618">
        <v>0</v>
      </c>
      <c r="AK255" s="1466" t="s">
        <v>1128</v>
      </c>
      <c r="AL255" s="1466"/>
      <c r="AM255" s="1473">
        <v>67.709999999999994</v>
      </c>
      <c r="AN255" s="1474"/>
      <c r="AO255" s="707">
        <v>0</v>
      </c>
      <c r="AP255" s="801"/>
      <c r="AQ255" s="801"/>
      <c r="AR255" s="951"/>
      <c r="AS255" s="348"/>
    </row>
    <row r="256" spans="2:45" ht="15.6" hidden="1" customHeight="1" x14ac:dyDescent="0.25">
      <c r="B256" s="1531"/>
      <c r="C256" s="431" t="s">
        <v>273</v>
      </c>
      <c r="D256" s="687"/>
      <c r="E256" s="687"/>
      <c r="F256" s="687"/>
      <c r="G256" s="685">
        <v>7</v>
      </c>
      <c r="H256" s="1084">
        <v>1</v>
      </c>
      <c r="I256" s="1477">
        <v>240</v>
      </c>
      <c r="J256" s="1477"/>
      <c r="K256" s="684">
        <v>0</v>
      </c>
      <c r="L256" s="684">
        <v>0</v>
      </c>
      <c r="M256" s="684">
        <v>0</v>
      </c>
      <c r="N256" s="684">
        <v>0</v>
      </c>
      <c r="O256" s="1466" t="s">
        <v>1128</v>
      </c>
      <c r="P256" s="1466"/>
      <c r="Q256" s="1467">
        <v>68.08</v>
      </c>
      <c r="R256" s="1468"/>
      <c r="S256" s="707" t="s">
        <v>32</v>
      </c>
      <c r="T256" s="801"/>
      <c r="U256" s="40"/>
      <c r="V256" s="951"/>
      <c r="W256" s="348"/>
      <c r="X256" s="1531"/>
      <c r="Y256" s="431" t="s">
        <v>273</v>
      </c>
      <c r="Z256" s="687"/>
      <c r="AA256" s="687"/>
      <c r="AB256" s="687"/>
      <c r="AC256" s="685">
        <v>7</v>
      </c>
      <c r="AD256" s="1084">
        <v>1</v>
      </c>
      <c r="AE256" s="1477">
        <v>240</v>
      </c>
      <c r="AF256" s="1477"/>
      <c r="AG256" s="684">
        <v>0</v>
      </c>
      <c r="AH256" s="684">
        <v>0</v>
      </c>
      <c r="AI256" s="684">
        <v>0</v>
      </c>
      <c r="AJ256" s="684">
        <v>0</v>
      </c>
      <c r="AK256" s="1466" t="s">
        <v>1128</v>
      </c>
      <c r="AL256" s="1466"/>
      <c r="AM256" s="1467">
        <v>72.33</v>
      </c>
      <c r="AN256" s="1468"/>
      <c r="AO256" s="707">
        <v>0</v>
      </c>
      <c r="AP256" s="801"/>
      <c r="AQ256" s="40"/>
      <c r="AR256" s="951"/>
      <c r="AS256" s="348"/>
    </row>
    <row r="257" spans="2:45" ht="15.6" hidden="1" customHeight="1" x14ac:dyDescent="0.25">
      <c r="B257" s="1531"/>
      <c r="C257" s="431" t="s">
        <v>73</v>
      </c>
      <c r="D257" s="687"/>
      <c r="E257" s="687"/>
      <c r="F257" s="687"/>
      <c r="G257" s="686">
        <v>8</v>
      </c>
      <c r="H257" s="1085">
        <v>8</v>
      </c>
      <c r="I257" s="1477">
        <v>240</v>
      </c>
      <c r="J257" s="1477"/>
      <c r="K257" s="684">
        <v>0</v>
      </c>
      <c r="L257" s="684">
        <v>0</v>
      </c>
      <c r="M257" s="684">
        <v>0</v>
      </c>
      <c r="N257" s="684">
        <v>0</v>
      </c>
      <c r="O257" s="1477" t="s">
        <v>16</v>
      </c>
      <c r="P257" s="1477"/>
      <c r="Q257" s="1467">
        <v>65.92</v>
      </c>
      <c r="R257" s="1468"/>
      <c r="S257" s="707">
        <v>0</v>
      </c>
      <c r="T257" s="801"/>
      <c r="U257" s="801"/>
      <c r="V257" s="801"/>
      <c r="W257" s="348"/>
      <c r="X257" s="1531"/>
      <c r="Y257" s="431" t="s">
        <v>73</v>
      </c>
      <c r="Z257" s="687"/>
      <c r="AA257" s="687"/>
      <c r="AB257" s="687"/>
      <c r="AC257" s="686">
        <v>8</v>
      </c>
      <c r="AD257" s="1085">
        <v>8</v>
      </c>
      <c r="AE257" s="1477">
        <v>240</v>
      </c>
      <c r="AF257" s="1477"/>
      <c r="AG257" s="684">
        <v>0</v>
      </c>
      <c r="AH257" s="684">
        <v>0</v>
      </c>
      <c r="AI257" s="684">
        <v>0</v>
      </c>
      <c r="AJ257" s="684">
        <v>0</v>
      </c>
      <c r="AK257" s="1477" t="s">
        <v>16</v>
      </c>
      <c r="AL257" s="1477"/>
      <c r="AM257" s="1467">
        <v>63.17</v>
      </c>
      <c r="AN257" s="1468"/>
      <c r="AO257" s="707">
        <v>0</v>
      </c>
      <c r="AP257" s="801"/>
      <c r="AQ257" s="801"/>
      <c r="AR257" s="801"/>
      <c r="AS257" s="348"/>
    </row>
    <row r="258" spans="2:45" ht="15.6" hidden="1" customHeight="1" x14ac:dyDescent="0.25">
      <c r="B258" s="1531"/>
      <c r="C258" s="431" t="s">
        <v>101</v>
      </c>
      <c r="D258" s="687"/>
      <c r="E258" s="687"/>
      <c r="F258" s="687"/>
      <c r="G258" s="686">
        <v>9</v>
      </c>
      <c r="H258" s="1085">
        <v>14</v>
      </c>
      <c r="I258" s="1477">
        <v>240</v>
      </c>
      <c r="J258" s="1477"/>
      <c r="K258" s="684">
        <v>0</v>
      </c>
      <c r="L258" s="684">
        <v>0</v>
      </c>
      <c r="M258" s="684">
        <v>0</v>
      </c>
      <c r="N258" s="684">
        <v>0</v>
      </c>
      <c r="O258" s="1477" t="s">
        <v>18</v>
      </c>
      <c r="P258" s="1477"/>
      <c r="Q258" s="1467">
        <v>66.3</v>
      </c>
      <c r="R258" s="1468"/>
      <c r="S258" s="707">
        <v>0</v>
      </c>
      <c r="T258" s="801"/>
      <c r="U258" s="801"/>
      <c r="V258" s="801"/>
      <c r="W258" s="1096"/>
      <c r="X258" s="1531"/>
      <c r="Y258" s="431" t="s">
        <v>101</v>
      </c>
      <c r="Z258" s="687"/>
      <c r="AA258" s="687"/>
      <c r="AB258" s="687"/>
      <c r="AC258" s="686">
        <v>9</v>
      </c>
      <c r="AD258" s="1085">
        <v>14</v>
      </c>
      <c r="AE258" s="1477">
        <v>240</v>
      </c>
      <c r="AF258" s="1477"/>
      <c r="AG258" s="684">
        <v>0</v>
      </c>
      <c r="AH258" s="684">
        <v>0</v>
      </c>
      <c r="AI258" s="684">
        <v>0</v>
      </c>
      <c r="AJ258" s="684">
        <v>0</v>
      </c>
      <c r="AK258" s="1477" t="s">
        <v>18</v>
      </c>
      <c r="AL258" s="1477"/>
      <c r="AM258" s="1467">
        <v>65.27</v>
      </c>
      <c r="AN258" s="1468"/>
      <c r="AO258" s="707">
        <v>0</v>
      </c>
      <c r="AP258" s="801"/>
      <c r="AQ258" s="801"/>
      <c r="AR258" s="801"/>
      <c r="AS258" s="1096"/>
    </row>
    <row r="259" spans="2:45" ht="15.6" hidden="1" customHeight="1" x14ac:dyDescent="0.25">
      <c r="B259" s="1531"/>
      <c r="C259" s="431" t="s">
        <v>150</v>
      </c>
      <c r="D259" s="687"/>
      <c r="E259" s="687"/>
      <c r="F259" s="687"/>
      <c r="G259" s="686">
        <v>10</v>
      </c>
      <c r="H259" s="1085">
        <v>1</v>
      </c>
      <c r="I259" s="1477">
        <v>240</v>
      </c>
      <c r="J259" s="1477"/>
      <c r="K259" s="684">
        <v>0</v>
      </c>
      <c r="L259" s="684">
        <v>0</v>
      </c>
      <c r="M259" s="684">
        <v>0</v>
      </c>
      <c r="N259" s="684">
        <v>0</v>
      </c>
      <c r="O259" s="1477" t="s">
        <v>19</v>
      </c>
      <c r="P259" s="1477"/>
      <c r="Q259" s="1467">
        <v>66.489999999999995</v>
      </c>
      <c r="R259" s="1468"/>
      <c r="S259" s="707">
        <v>0</v>
      </c>
      <c r="T259" s="1483" t="s">
        <v>998</v>
      </c>
      <c r="U259" s="1484"/>
      <c r="V259" s="1484"/>
      <c r="W259" s="1096"/>
      <c r="X259" s="1531"/>
      <c r="Y259" s="431" t="s">
        <v>150</v>
      </c>
      <c r="Z259" s="687"/>
      <c r="AA259" s="687"/>
      <c r="AB259" s="687"/>
      <c r="AC259" s="686">
        <v>10</v>
      </c>
      <c r="AD259" s="1085">
        <v>1</v>
      </c>
      <c r="AE259" s="1477">
        <v>240</v>
      </c>
      <c r="AF259" s="1477"/>
      <c r="AG259" s="684">
        <v>0</v>
      </c>
      <c r="AH259" s="684">
        <v>0</v>
      </c>
      <c r="AI259" s="684">
        <v>0</v>
      </c>
      <c r="AJ259" s="684">
        <v>0</v>
      </c>
      <c r="AK259" s="1477" t="s">
        <v>19</v>
      </c>
      <c r="AL259" s="1477"/>
      <c r="AM259" s="1467">
        <v>66.319999999999993</v>
      </c>
      <c r="AN259" s="1468"/>
      <c r="AO259" s="707">
        <v>0</v>
      </c>
      <c r="AP259" s="1483" t="s">
        <v>998</v>
      </c>
      <c r="AQ259" s="1484"/>
      <c r="AR259" s="1484"/>
      <c r="AS259" s="1096"/>
    </row>
    <row r="260" spans="2:45" ht="15.6" hidden="1" customHeight="1" x14ac:dyDescent="0.25">
      <c r="B260" s="1531"/>
      <c r="C260" s="431" t="s">
        <v>153</v>
      </c>
      <c r="D260" s="687"/>
      <c r="E260" s="687"/>
      <c r="F260" s="687"/>
      <c r="G260" s="686">
        <v>11</v>
      </c>
      <c r="H260" s="1085">
        <v>14</v>
      </c>
      <c r="I260" s="1477">
        <v>240</v>
      </c>
      <c r="J260" s="1477"/>
      <c r="K260" s="684">
        <v>0</v>
      </c>
      <c r="L260" s="684">
        <v>0</v>
      </c>
      <c r="M260" s="684">
        <v>0</v>
      </c>
      <c r="N260" s="684">
        <v>0</v>
      </c>
      <c r="O260" s="1477" t="s">
        <v>20</v>
      </c>
      <c r="P260" s="1477"/>
      <c r="Q260" s="1467">
        <v>66.569999999999993</v>
      </c>
      <c r="R260" s="1468"/>
      <c r="S260" s="707">
        <v>0</v>
      </c>
      <c r="T260" s="1483" t="s">
        <v>1295</v>
      </c>
      <c r="U260" s="1484"/>
      <c r="V260" s="1484"/>
      <c r="W260" s="1096"/>
      <c r="X260" s="1531"/>
      <c r="Y260" s="431" t="s">
        <v>153</v>
      </c>
      <c r="Z260" s="687"/>
      <c r="AA260" s="687"/>
      <c r="AB260" s="687"/>
      <c r="AC260" s="686">
        <v>11</v>
      </c>
      <c r="AD260" s="1085">
        <v>14</v>
      </c>
      <c r="AE260" s="1477">
        <v>240</v>
      </c>
      <c r="AF260" s="1477"/>
      <c r="AG260" s="684">
        <v>0</v>
      </c>
      <c r="AH260" s="684">
        <v>0</v>
      </c>
      <c r="AI260" s="684">
        <v>0</v>
      </c>
      <c r="AJ260" s="684">
        <v>0</v>
      </c>
      <c r="AK260" s="1477" t="s">
        <v>20</v>
      </c>
      <c r="AL260" s="1477"/>
      <c r="AM260" s="1467">
        <v>66.739999999999995</v>
      </c>
      <c r="AN260" s="1468"/>
      <c r="AO260" s="707">
        <v>0</v>
      </c>
      <c r="AP260" s="1483" t="s">
        <v>1295</v>
      </c>
      <c r="AQ260" s="1484"/>
      <c r="AR260" s="1484"/>
      <c r="AS260" s="1096"/>
    </row>
    <row r="261" spans="2:45" ht="15.6" hidden="1" customHeight="1" x14ac:dyDescent="0.25">
      <c r="B261" s="1531"/>
      <c r="C261" s="431" t="s">
        <v>197</v>
      </c>
      <c r="D261" s="687"/>
      <c r="E261" s="687"/>
      <c r="F261" s="687"/>
      <c r="G261" s="686">
        <v>12</v>
      </c>
      <c r="H261" s="1085">
        <v>1</v>
      </c>
      <c r="I261" s="1477">
        <v>240</v>
      </c>
      <c r="J261" s="1477"/>
      <c r="K261" s="684">
        <v>0</v>
      </c>
      <c r="L261" s="684">
        <v>0</v>
      </c>
      <c r="M261" s="684">
        <v>0</v>
      </c>
      <c r="N261" s="684">
        <v>0</v>
      </c>
      <c r="O261" s="1477" t="s">
        <v>21</v>
      </c>
      <c r="P261" s="1477"/>
      <c r="Q261" s="1467">
        <v>66.599999999999994</v>
      </c>
      <c r="R261" s="1468"/>
      <c r="S261" s="707">
        <v>0</v>
      </c>
      <c r="T261" s="706"/>
      <c r="U261" s="786" t="s">
        <v>999</v>
      </c>
      <c r="V261" s="785">
        <v>68.42</v>
      </c>
      <c r="W261" s="1096"/>
      <c r="X261" s="1531"/>
      <c r="Y261" s="431" t="s">
        <v>197</v>
      </c>
      <c r="Z261" s="687"/>
      <c r="AA261" s="687"/>
      <c r="AB261" s="687"/>
      <c r="AC261" s="686">
        <v>12</v>
      </c>
      <c r="AD261" s="1085">
        <v>1</v>
      </c>
      <c r="AE261" s="1477">
        <v>240</v>
      </c>
      <c r="AF261" s="1477"/>
      <c r="AG261" s="684">
        <v>0</v>
      </c>
      <c r="AH261" s="684">
        <v>0</v>
      </c>
      <c r="AI261" s="684">
        <v>0</v>
      </c>
      <c r="AJ261" s="684">
        <v>0</v>
      </c>
      <c r="AK261" s="1477" t="s">
        <v>21</v>
      </c>
      <c r="AL261" s="1477"/>
      <c r="AM261" s="1467">
        <v>66.95</v>
      </c>
      <c r="AN261" s="1468"/>
      <c r="AO261" s="707">
        <v>0</v>
      </c>
      <c r="AP261" s="706"/>
      <c r="AQ261" s="786" t="s">
        <v>999</v>
      </c>
      <c r="AR261" s="785">
        <v>75.2</v>
      </c>
      <c r="AS261" s="1096"/>
    </row>
    <row r="262" spans="2:45" ht="15.6" hidden="1" customHeight="1" x14ac:dyDescent="0.25">
      <c r="B262" s="1531"/>
      <c r="C262" s="431" t="s">
        <v>219</v>
      </c>
      <c r="D262" s="687"/>
      <c r="E262" s="687"/>
      <c r="F262" s="687"/>
      <c r="G262" s="686">
        <v>13</v>
      </c>
      <c r="H262" s="1085">
        <v>11</v>
      </c>
      <c r="I262" s="1477">
        <v>240</v>
      </c>
      <c r="J262" s="1477"/>
      <c r="K262" s="684">
        <v>0</v>
      </c>
      <c r="L262" s="684">
        <v>0</v>
      </c>
      <c r="M262" s="684">
        <v>0</v>
      </c>
      <c r="N262" s="684">
        <v>0</v>
      </c>
      <c r="O262" s="1477" t="s">
        <v>22</v>
      </c>
      <c r="P262" s="1477"/>
      <c r="Q262" s="1467">
        <v>66.680000000000007</v>
      </c>
      <c r="R262" s="1468"/>
      <c r="S262" s="707">
        <v>0</v>
      </c>
      <c r="T262" s="706"/>
      <c r="U262" s="786" t="s">
        <v>1000</v>
      </c>
      <c r="V262" s="785">
        <v>65.92</v>
      </c>
      <c r="W262" s="1096"/>
      <c r="X262" s="1531"/>
      <c r="Y262" s="431" t="s">
        <v>219</v>
      </c>
      <c r="Z262" s="687"/>
      <c r="AA262" s="687"/>
      <c r="AB262" s="687"/>
      <c r="AC262" s="686">
        <v>13</v>
      </c>
      <c r="AD262" s="1085">
        <v>11</v>
      </c>
      <c r="AE262" s="1477">
        <v>240</v>
      </c>
      <c r="AF262" s="1477"/>
      <c r="AG262" s="684">
        <v>0</v>
      </c>
      <c r="AH262" s="684">
        <v>0</v>
      </c>
      <c r="AI262" s="684">
        <v>0</v>
      </c>
      <c r="AJ262" s="684">
        <v>0</v>
      </c>
      <c r="AK262" s="1477" t="s">
        <v>22</v>
      </c>
      <c r="AL262" s="1477"/>
      <c r="AM262" s="1467">
        <v>67.37</v>
      </c>
      <c r="AN262" s="1468"/>
      <c r="AO262" s="707">
        <v>0</v>
      </c>
      <c r="AP262" s="706"/>
      <c r="AQ262" s="786" t="s">
        <v>1000</v>
      </c>
      <c r="AR262" s="785">
        <v>63.17</v>
      </c>
      <c r="AS262" s="1096"/>
    </row>
    <row r="263" spans="2:45" ht="15.6" hidden="1" customHeight="1" x14ac:dyDescent="0.25">
      <c r="B263" s="1531"/>
      <c r="C263" s="431" t="s">
        <v>257</v>
      </c>
      <c r="D263" s="687"/>
      <c r="E263" s="687"/>
      <c r="F263" s="687"/>
      <c r="G263" s="686">
        <v>14</v>
      </c>
      <c r="H263" s="1085">
        <v>12</v>
      </c>
      <c r="I263" s="1477">
        <v>240</v>
      </c>
      <c r="J263" s="1477"/>
      <c r="K263" s="684">
        <v>0</v>
      </c>
      <c r="L263" s="684">
        <v>0</v>
      </c>
      <c r="M263" s="684">
        <v>0</v>
      </c>
      <c r="N263" s="684">
        <v>0</v>
      </c>
      <c r="O263" s="1477" t="s">
        <v>23</v>
      </c>
      <c r="P263" s="1477"/>
      <c r="Q263" s="1467">
        <v>66.87</v>
      </c>
      <c r="R263" s="1468"/>
      <c r="S263" s="707">
        <v>0</v>
      </c>
      <c r="T263" s="706"/>
      <c r="U263" s="786" t="s">
        <v>1001</v>
      </c>
      <c r="V263" s="787">
        <v>2.5</v>
      </c>
      <c r="W263" s="1096"/>
      <c r="X263" s="1531"/>
      <c r="Y263" s="431" t="s">
        <v>257</v>
      </c>
      <c r="Z263" s="687"/>
      <c r="AA263" s="687"/>
      <c r="AB263" s="687"/>
      <c r="AC263" s="686">
        <v>14</v>
      </c>
      <c r="AD263" s="1085">
        <v>12</v>
      </c>
      <c r="AE263" s="1477">
        <v>240</v>
      </c>
      <c r="AF263" s="1477"/>
      <c r="AG263" s="684">
        <v>0</v>
      </c>
      <c r="AH263" s="684">
        <v>0</v>
      </c>
      <c r="AI263" s="684">
        <v>0</v>
      </c>
      <c r="AJ263" s="684">
        <v>0</v>
      </c>
      <c r="AK263" s="1477" t="s">
        <v>23</v>
      </c>
      <c r="AL263" s="1477"/>
      <c r="AM263" s="1467">
        <v>68.42</v>
      </c>
      <c r="AN263" s="1468"/>
      <c r="AO263" s="707" t="s">
        <v>32</v>
      </c>
      <c r="AP263" s="706"/>
      <c r="AQ263" s="786" t="s">
        <v>1001</v>
      </c>
      <c r="AR263" s="787">
        <v>12.030000000000001</v>
      </c>
      <c r="AS263" s="1096"/>
    </row>
    <row r="264" spans="2:45" ht="15.6" hidden="1" customHeight="1" x14ac:dyDescent="0.25">
      <c r="B264" s="1531"/>
      <c r="C264" s="431" t="s">
        <v>270</v>
      </c>
      <c r="D264" s="687"/>
      <c r="E264" s="687"/>
      <c r="F264" s="687"/>
      <c r="G264" s="686">
        <v>15</v>
      </c>
      <c r="H264" s="1085">
        <v>3</v>
      </c>
      <c r="I264" s="1477">
        <v>240</v>
      </c>
      <c r="J264" s="1477"/>
      <c r="K264" s="684">
        <v>0</v>
      </c>
      <c r="L264" s="684">
        <v>0</v>
      </c>
      <c r="M264" s="684">
        <v>0</v>
      </c>
      <c r="N264" s="684">
        <v>0</v>
      </c>
      <c r="O264" s="1477" t="s">
        <v>24</v>
      </c>
      <c r="P264" s="1477"/>
      <c r="Q264" s="1467">
        <v>67.06</v>
      </c>
      <c r="R264" s="1468"/>
      <c r="S264" s="707">
        <v>0</v>
      </c>
      <c r="T264" s="706"/>
      <c r="U264" s="786" t="s">
        <v>1002</v>
      </c>
      <c r="V264" s="785">
        <v>66.989999999999995</v>
      </c>
      <c r="W264" s="1096"/>
      <c r="X264" s="1531"/>
      <c r="Y264" s="431" t="s">
        <v>270</v>
      </c>
      <c r="Z264" s="687"/>
      <c r="AA264" s="687"/>
      <c r="AB264" s="687"/>
      <c r="AC264" s="686">
        <v>15</v>
      </c>
      <c r="AD264" s="1085">
        <v>3</v>
      </c>
      <c r="AE264" s="1477">
        <v>240</v>
      </c>
      <c r="AF264" s="1477"/>
      <c r="AG264" s="684">
        <v>0</v>
      </c>
      <c r="AH264" s="684">
        <v>0</v>
      </c>
      <c r="AI264" s="684">
        <v>0</v>
      </c>
      <c r="AJ264" s="684">
        <v>0</v>
      </c>
      <c r="AK264" s="1477" t="s">
        <v>24</v>
      </c>
      <c r="AL264" s="1477"/>
      <c r="AM264" s="1467">
        <v>69.47</v>
      </c>
      <c r="AN264" s="1468"/>
      <c r="AO264" s="707" t="s">
        <v>32</v>
      </c>
      <c r="AP264" s="706"/>
      <c r="AQ264" s="786" t="s">
        <v>1002</v>
      </c>
      <c r="AR264" s="785">
        <v>68.23</v>
      </c>
      <c r="AS264" s="1096"/>
    </row>
    <row r="265" spans="2:45" ht="15.6" hidden="1" customHeight="1" x14ac:dyDescent="0.25">
      <c r="B265" s="1531"/>
      <c r="C265" s="431" t="s">
        <v>1052</v>
      </c>
      <c r="D265" s="687"/>
      <c r="E265" s="687"/>
      <c r="F265" s="687"/>
      <c r="G265" s="686">
        <v>17</v>
      </c>
      <c r="H265" s="1085">
        <v>1</v>
      </c>
      <c r="I265" s="1477">
        <v>220</v>
      </c>
      <c r="J265" s="1477"/>
      <c r="K265" s="684">
        <v>0</v>
      </c>
      <c r="L265" s="684">
        <v>0</v>
      </c>
      <c r="M265" s="684">
        <v>0</v>
      </c>
      <c r="N265" s="684">
        <v>20</v>
      </c>
      <c r="O265" s="1477" t="s">
        <v>20</v>
      </c>
      <c r="P265" s="1477"/>
      <c r="Q265" s="1467">
        <v>66.95</v>
      </c>
      <c r="R265" s="1468"/>
      <c r="S265" s="707">
        <v>0</v>
      </c>
      <c r="T265" s="706"/>
      <c r="U265" s="786" t="s">
        <v>1003</v>
      </c>
      <c r="V265" s="785">
        <v>66.87</v>
      </c>
      <c r="W265" s="1096"/>
      <c r="X265" s="1531"/>
      <c r="Y265" s="431" t="s">
        <v>1052</v>
      </c>
      <c r="Z265" s="687"/>
      <c r="AA265" s="687"/>
      <c r="AB265" s="687"/>
      <c r="AC265" s="686">
        <v>17</v>
      </c>
      <c r="AD265" s="1085">
        <v>1</v>
      </c>
      <c r="AE265" s="1477">
        <v>220</v>
      </c>
      <c r="AF265" s="1477"/>
      <c r="AG265" s="684">
        <v>0</v>
      </c>
      <c r="AH265" s="684">
        <v>0</v>
      </c>
      <c r="AI265" s="684">
        <v>0</v>
      </c>
      <c r="AJ265" s="684">
        <v>20</v>
      </c>
      <c r="AK265" s="1477" t="s">
        <v>20</v>
      </c>
      <c r="AL265" s="1477"/>
      <c r="AM265" s="1467">
        <v>67.760000000000005</v>
      </c>
      <c r="AN265" s="1468"/>
      <c r="AO265" s="707">
        <v>0</v>
      </c>
      <c r="AP265" s="706"/>
      <c r="AQ265" s="786" t="s">
        <v>1003</v>
      </c>
      <c r="AR265" s="785">
        <v>67.989999999999995</v>
      </c>
      <c r="AS265" s="1096"/>
    </row>
    <row r="266" spans="2:45" ht="15.6" hidden="1" customHeight="1" x14ac:dyDescent="0.25">
      <c r="B266" s="1531"/>
      <c r="C266" s="431" t="s">
        <v>1050</v>
      </c>
      <c r="D266" s="687"/>
      <c r="E266" s="687"/>
      <c r="F266" s="687"/>
      <c r="G266" s="686">
        <v>18</v>
      </c>
      <c r="H266" s="1085">
        <v>1</v>
      </c>
      <c r="I266" s="1477">
        <v>210</v>
      </c>
      <c r="J266" s="1477"/>
      <c r="K266" s="684">
        <v>0</v>
      </c>
      <c r="L266" s="684">
        <v>0</v>
      </c>
      <c r="M266" s="684">
        <v>0</v>
      </c>
      <c r="N266" s="684">
        <v>30</v>
      </c>
      <c r="O266" s="1477" t="s">
        <v>16</v>
      </c>
      <c r="P266" s="1477"/>
      <c r="Q266" s="1467">
        <v>68.25</v>
      </c>
      <c r="R266" s="1468"/>
      <c r="S266" s="707" t="s">
        <v>32</v>
      </c>
      <c r="T266" s="1481" t="s">
        <v>1005</v>
      </c>
      <c r="U266" s="1482"/>
      <c r="V266" s="40">
        <v>3</v>
      </c>
      <c r="W266" s="1096"/>
      <c r="X266" s="1531"/>
      <c r="Y266" s="431" t="s">
        <v>1050</v>
      </c>
      <c r="Z266" s="687"/>
      <c r="AA266" s="687"/>
      <c r="AB266" s="687"/>
      <c r="AC266" s="686">
        <v>18</v>
      </c>
      <c r="AD266" s="1085">
        <v>1</v>
      </c>
      <c r="AE266" s="1477">
        <v>210</v>
      </c>
      <c r="AF266" s="1477"/>
      <c r="AG266" s="684">
        <v>0</v>
      </c>
      <c r="AH266" s="684">
        <v>0</v>
      </c>
      <c r="AI266" s="684">
        <v>0</v>
      </c>
      <c r="AJ266" s="684">
        <v>30</v>
      </c>
      <c r="AK266" s="1477" t="s">
        <v>16</v>
      </c>
      <c r="AL266" s="1477"/>
      <c r="AM266" s="1467">
        <v>74.67</v>
      </c>
      <c r="AN266" s="1468"/>
      <c r="AO266" s="707">
        <v>0</v>
      </c>
      <c r="AP266" s="1481" t="s">
        <v>1005</v>
      </c>
      <c r="AQ266" s="1482"/>
      <c r="AR266" s="40">
        <v>6</v>
      </c>
      <c r="AS266" s="1096"/>
    </row>
    <row r="267" spans="2:45" ht="15.6" hidden="1" customHeight="1" x14ac:dyDescent="0.25">
      <c r="B267" s="1531"/>
      <c r="C267" s="431" t="s">
        <v>141</v>
      </c>
      <c r="D267" s="687"/>
      <c r="E267" s="687"/>
      <c r="F267" s="687"/>
      <c r="G267" s="685">
        <v>19</v>
      </c>
      <c r="H267" s="1084">
        <v>1</v>
      </c>
      <c r="I267" s="1477">
        <v>240</v>
      </c>
      <c r="J267" s="1477"/>
      <c r="K267" s="684">
        <v>0</v>
      </c>
      <c r="L267" s="684">
        <v>0</v>
      </c>
      <c r="M267" s="684">
        <v>30</v>
      </c>
      <c r="N267" s="684">
        <v>30</v>
      </c>
      <c r="O267" s="1466" t="s">
        <v>1128</v>
      </c>
      <c r="P267" s="1466"/>
      <c r="Q267" s="1467">
        <v>67.290000000000006</v>
      </c>
      <c r="R267" s="1468"/>
      <c r="S267" s="707">
        <v>0</v>
      </c>
      <c r="T267" s="706"/>
      <c r="U267" s="706"/>
      <c r="V267" s="706"/>
      <c r="W267" s="1096"/>
      <c r="X267" s="1531"/>
      <c r="Y267" s="431" t="s">
        <v>141</v>
      </c>
      <c r="Z267" s="687"/>
      <c r="AA267" s="687"/>
      <c r="AB267" s="687"/>
      <c r="AC267" s="685">
        <v>19</v>
      </c>
      <c r="AD267" s="1084">
        <v>1</v>
      </c>
      <c r="AE267" s="1477">
        <v>240</v>
      </c>
      <c r="AF267" s="1477"/>
      <c r="AG267" s="684">
        <v>0</v>
      </c>
      <c r="AH267" s="684">
        <v>0</v>
      </c>
      <c r="AI267" s="684">
        <v>30</v>
      </c>
      <c r="AJ267" s="684">
        <v>30</v>
      </c>
      <c r="AK267" s="1466" t="s">
        <v>1128</v>
      </c>
      <c r="AL267" s="1466"/>
      <c r="AM267" s="1467">
        <v>67.58</v>
      </c>
      <c r="AN267" s="1468"/>
      <c r="AO267" s="707">
        <v>0</v>
      </c>
      <c r="AP267" s="706"/>
      <c r="AQ267" s="706"/>
      <c r="AR267" s="706"/>
      <c r="AS267" s="1096"/>
    </row>
    <row r="268" spans="2:45" ht="15.6" hidden="1" customHeight="1" x14ac:dyDescent="0.25">
      <c r="B268" s="1531"/>
      <c r="C268" s="431" t="s">
        <v>295</v>
      </c>
      <c r="D268" s="687"/>
      <c r="E268" s="687"/>
      <c r="F268" s="687"/>
      <c r="G268" s="686">
        <v>20</v>
      </c>
      <c r="H268" s="1085">
        <v>1</v>
      </c>
      <c r="I268" s="1477">
        <v>210</v>
      </c>
      <c r="J268" s="1477"/>
      <c r="K268" s="684">
        <v>0</v>
      </c>
      <c r="L268" s="684">
        <v>15</v>
      </c>
      <c r="M268" s="684">
        <v>15</v>
      </c>
      <c r="N268" s="684">
        <v>30</v>
      </c>
      <c r="O268" s="1477" t="s">
        <v>23</v>
      </c>
      <c r="P268" s="1477"/>
      <c r="Q268" s="1467">
        <v>67.319999999999993</v>
      </c>
      <c r="R268" s="1468"/>
      <c r="S268" s="707">
        <v>0</v>
      </c>
      <c r="T268" s="706"/>
      <c r="U268" s="706"/>
      <c r="V268" s="706"/>
      <c r="W268" s="1096"/>
      <c r="X268" s="1531"/>
      <c r="Y268" s="431" t="s">
        <v>295</v>
      </c>
      <c r="Z268" s="687"/>
      <c r="AA268" s="687"/>
      <c r="AB268" s="687"/>
      <c r="AC268" s="686">
        <v>20</v>
      </c>
      <c r="AD268" s="1085">
        <v>1</v>
      </c>
      <c r="AE268" s="1477">
        <v>210</v>
      </c>
      <c r="AF268" s="1477"/>
      <c r="AG268" s="684">
        <v>0</v>
      </c>
      <c r="AH268" s="684">
        <v>15</v>
      </c>
      <c r="AI268" s="684">
        <v>15</v>
      </c>
      <c r="AJ268" s="684">
        <v>30</v>
      </c>
      <c r="AK268" s="1477" t="s">
        <v>23</v>
      </c>
      <c r="AL268" s="1477"/>
      <c r="AM268" s="1467">
        <v>69.58</v>
      </c>
      <c r="AN268" s="1468"/>
      <c r="AO268" s="707" t="s">
        <v>32</v>
      </c>
      <c r="AP268" s="706"/>
      <c r="AQ268" s="706"/>
      <c r="AR268" s="706"/>
      <c r="AS268" s="1096"/>
    </row>
    <row r="269" spans="2:45" ht="15.6" hidden="1" customHeight="1" x14ac:dyDescent="0.25">
      <c r="B269" s="1531"/>
      <c r="C269" s="431" t="s">
        <v>299</v>
      </c>
      <c r="D269" s="687"/>
      <c r="E269" s="687"/>
      <c r="F269" s="687"/>
      <c r="G269" s="686">
        <v>21</v>
      </c>
      <c r="H269" s="1085">
        <v>1</v>
      </c>
      <c r="I269" s="1477">
        <v>210</v>
      </c>
      <c r="J269" s="1477"/>
      <c r="K269" s="684">
        <v>0</v>
      </c>
      <c r="L269" s="684">
        <v>0</v>
      </c>
      <c r="M269" s="684">
        <v>30</v>
      </c>
      <c r="N269" s="684">
        <v>30</v>
      </c>
      <c r="O269" s="1477" t="s">
        <v>24</v>
      </c>
      <c r="P269" s="1477"/>
      <c r="Q269" s="1467">
        <v>67.849999999999994</v>
      </c>
      <c r="R269" s="1468"/>
      <c r="S269" s="707">
        <v>0</v>
      </c>
      <c r="T269" s="706"/>
      <c r="U269" s="706"/>
      <c r="V269" s="706"/>
      <c r="W269" s="1096"/>
      <c r="X269" s="1531"/>
      <c r="Y269" s="431" t="s">
        <v>299</v>
      </c>
      <c r="Z269" s="687"/>
      <c r="AA269" s="687"/>
      <c r="AB269" s="687"/>
      <c r="AC269" s="686">
        <v>21</v>
      </c>
      <c r="AD269" s="1085">
        <v>1</v>
      </c>
      <c r="AE269" s="1477">
        <v>210</v>
      </c>
      <c r="AF269" s="1477"/>
      <c r="AG269" s="684">
        <v>0</v>
      </c>
      <c r="AH269" s="684">
        <v>0</v>
      </c>
      <c r="AI269" s="684">
        <v>30</v>
      </c>
      <c r="AJ269" s="684">
        <v>30</v>
      </c>
      <c r="AK269" s="1477" t="s">
        <v>24</v>
      </c>
      <c r="AL269" s="1477"/>
      <c r="AM269" s="1467">
        <v>71.34</v>
      </c>
      <c r="AN269" s="1468"/>
      <c r="AO269" s="707">
        <v>0</v>
      </c>
      <c r="AP269" s="706"/>
      <c r="AQ269" s="706"/>
      <c r="AR269" s="706"/>
      <c r="AS269" s="1096"/>
    </row>
    <row r="270" spans="2:45" ht="15.6" hidden="1" customHeight="1" x14ac:dyDescent="0.25">
      <c r="B270" s="1531"/>
      <c r="C270" s="431" t="s">
        <v>302</v>
      </c>
      <c r="D270" s="687"/>
      <c r="E270" s="687"/>
      <c r="F270" s="687"/>
      <c r="G270" s="686">
        <v>21</v>
      </c>
      <c r="H270" s="1085">
        <v>1</v>
      </c>
      <c r="I270" s="1477">
        <v>210</v>
      </c>
      <c r="J270" s="1477"/>
      <c r="K270" s="684">
        <v>0</v>
      </c>
      <c r="L270" s="684">
        <v>15</v>
      </c>
      <c r="M270" s="684">
        <v>15</v>
      </c>
      <c r="N270" s="684">
        <v>30</v>
      </c>
      <c r="O270" s="1477" t="s">
        <v>24</v>
      </c>
      <c r="P270" s="1477"/>
      <c r="Q270" s="1467">
        <v>67.5</v>
      </c>
      <c r="R270" s="1468"/>
      <c r="S270" s="707">
        <v>0</v>
      </c>
      <c r="T270" s="706"/>
      <c r="U270" s="706"/>
      <c r="V270" s="706"/>
      <c r="W270" s="1096"/>
      <c r="X270" s="1531"/>
      <c r="Y270" s="431" t="s">
        <v>302</v>
      </c>
      <c r="Z270" s="687"/>
      <c r="AA270" s="687"/>
      <c r="AB270" s="687"/>
      <c r="AC270" s="686">
        <v>21</v>
      </c>
      <c r="AD270" s="1085">
        <v>1</v>
      </c>
      <c r="AE270" s="1477">
        <v>210</v>
      </c>
      <c r="AF270" s="1477"/>
      <c r="AG270" s="684">
        <v>0</v>
      </c>
      <c r="AH270" s="684">
        <v>15</v>
      </c>
      <c r="AI270" s="684">
        <v>15</v>
      </c>
      <c r="AJ270" s="684">
        <v>30</v>
      </c>
      <c r="AK270" s="1477" t="s">
        <v>24</v>
      </c>
      <c r="AL270" s="1477"/>
      <c r="AM270" s="1467">
        <v>70.62</v>
      </c>
      <c r="AN270" s="1468"/>
      <c r="AO270" s="707">
        <v>0</v>
      </c>
      <c r="AP270" s="706"/>
      <c r="AQ270" s="706"/>
      <c r="AR270" s="706"/>
      <c r="AS270" s="1096"/>
    </row>
    <row r="271" spans="2:45" ht="15.6" hidden="1" customHeight="1" x14ac:dyDescent="0.25">
      <c r="B271" s="1531"/>
      <c r="C271" s="431" t="s">
        <v>306</v>
      </c>
      <c r="D271" s="687"/>
      <c r="E271" s="687"/>
      <c r="F271" s="687"/>
      <c r="G271" s="686">
        <v>22</v>
      </c>
      <c r="H271" s="1085">
        <v>3</v>
      </c>
      <c r="I271" s="1477">
        <v>200</v>
      </c>
      <c r="J271" s="1477"/>
      <c r="K271" s="684">
        <v>0</v>
      </c>
      <c r="L271" s="684">
        <v>20</v>
      </c>
      <c r="M271" s="684">
        <v>20</v>
      </c>
      <c r="N271" s="684">
        <v>40</v>
      </c>
      <c r="O271" s="1477" t="s">
        <v>18</v>
      </c>
      <c r="P271" s="1477"/>
      <c r="Q271" s="1467">
        <v>66.959999999999994</v>
      </c>
      <c r="R271" s="1468"/>
      <c r="S271" s="707">
        <v>0</v>
      </c>
      <c r="T271" s="132"/>
      <c r="U271" s="801"/>
      <c r="V271" s="801"/>
      <c r="W271" s="348"/>
      <c r="X271" s="1531"/>
      <c r="Y271" s="431" t="s">
        <v>306</v>
      </c>
      <c r="Z271" s="687"/>
      <c r="AA271" s="687"/>
      <c r="AB271" s="687"/>
      <c r="AC271" s="686">
        <v>22</v>
      </c>
      <c r="AD271" s="1085">
        <v>3</v>
      </c>
      <c r="AE271" s="1477">
        <v>200</v>
      </c>
      <c r="AF271" s="1477"/>
      <c r="AG271" s="684">
        <v>0</v>
      </c>
      <c r="AH271" s="684">
        <v>20</v>
      </c>
      <c r="AI271" s="684">
        <v>20</v>
      </c>
      <c r="AJ271" s="684">
        <v>40</v>
      </c>
      <c r="AK271" s="1477" t="s">
        <v>18</v>
      </c>
      <c r="AL271" s="1477"/>
      <c r="AM271" s="1467">
        <v>66.959999999999994</v>
      </c>
      <c r="AN271" s="1468"/>
      <c r="AO271" s="707">
        <v>0</v>
      </c>
      <c r="AP271" s="132"/>
      <c r="AQ271" s="801"/>
      <c r="AR271" s="801"/>
      <c r="AS271" s="348"/>
    </row>
    <row r="272" spans="2:45" ht="15.6" hidden="1" customHeight="1" x14ac:dyDescent="0.25">
      <c r="B272" s="1531"/>
      <c r="C272" s="431" t="s">
        <v>316</v>
      </c>
      <c r="D272" s="687"/>
      <c r="E272" s="687"/>
      <c r="F272" s="687"/>
      <c r="G272" s="686">
        <v>23</v>
      </c>
      <c r="H272" s="1085">
        <v>1</v>
      </c>
      <c r="I272" s="1477">
        <v>200</v>
      </c>
      <c r="J272" s="1477"/>
      <c r="K272" s="684">
        <v>0</v>
      </c>
      <c r="L272" s="684">
        <v>20</v>
      </c>
      <c r="M272" s="684">
        <v>20</v>
      </c>
      <c r="N272" s="684">
        <v>40</v>
      </c>
      <c r="O272" s="1477" t="s">
        <v>19</v>
      </c>
      <c r="P272" s="1477"/>
      <c r="Q272" s="1467">
        <v>67.14</v>
      </c>
      <c r="R272" s="1468"/>
      <c r="S272" s="707">
        <v>0</v>
      </c>
      <c r="T272" s="132"/>
      <c r="U272" s="801"/>
      <c r="V272" s="801"/>
      <c r="W272" s="348"/>
      <c r="X272" s="1531"/>
      <c r="Y272" s="431" t="s">
        <v>316</v>
      </c>
      <c r="Z272" s="687"/>
      <c r="AA272" s="687"/>
      <c r="AB272" s="687"/>
      <c r="AC272" s="686">
        <v>23</v>
      </c>
      <c r="AD272" s="1085">
        <v>1</v>
      </c>
      <c r="AE272" s="1477">
        <v>200</v>
      </c>
      <c r="AF272" s="1477"/>
      <c r="AG272" s="684">
        <v>0</v>
      </c>
      <c r="AH272" s="684">
        <v>20</v>
      </c>
      <c r="AI272" s="684">
        <v>20</v>
      </c>
      <c r="AJ272" s="684">
        <v>40</v>
      </c>
      <c r="AK272" s="1477" t="s">
        <v>19</v>
      </c>
      <c r="AL272" s="1477"/>
      <c r="AM272" s="1467">
        <v>67.989999999999995</v>
      </c>
      <c r="AN272" s="1468"/>
      <c r="AO272" s="707">
        <v>0</v>
      </c>
      <c r="AP272" s="132"/>
      <c r="AQ272" s="801"/>
      <c r="AR272" s="801"/>
      <c r="AS272" s="348"/>
    </row>
    <row r="273" spans="2:45" ht="15.6" hidden="1" customHeight="1" x14ac:dyDescent="0.25">
      <c r="B273" s="1531"/>
      <c r="C273" s="431" t="s">
        <v>319</v>
      </c>
      <c r="D273" s="687"/>
      <c r="E273" s="687"/>
      <c r="F273" s="687"/>
      <c r="G273" s="686">
        <v>24</v>
      </c>
      <c r="H273" s="1085">
        <v>3</v>
      </c>
      <c r="I273" s="1477">
        <v>200</v>
      </c>
      <c r="J273" s="1477"/>
      <c r="K273" s="684">
        <v>0</v>
      </c>
      <c r="L273" s="684">
        <v>20</v>
      </c>
      <c r="M273" s="684">
        <v>20</v>
      </c>
      <c r="N273" s="684">
        <v>40</v>
      </c>
      <c r="O273" s="1477" t="s">
        <v>20</v>
      </c>
      <c r="P273" s="1477"/>
      <c r="Q273" s="1467">
        <v>67.209999999999994</v>
      </c>
      <c r="R273" s="1468"/>
      <c r="S273" s="707">
        <v>0</v>
      </c>
      <c r="T273" s="55"/>
      <c r="U273" s="55"/>
      <c r="V273" s="801"/>
      <c r="W273" s="348"/>
      <c r="X273" s="1531"/>
      <c r="Y273" s="431" t="s">
        <v>319</v>
      </c>
      <c r="Z273" s="687"/>
      <c r="AA273" s="687"/>
      <c r="AB273" s="687"/>
      <c r="AC273" s="686">
        <v>24</v>
      </c>
      <c r="AD273" s="1085">
        <v>3</v>
      </c>
      <c r="AE273" s="1477">
        <v>200</v>
      </c>
      <c r="AF273" s="1477"/>
      <c r="AG273" s="684">
        <v>0</v>
      </c>
      <c r="AH273" s="684">
        <v>20</v>
      </c>
      <c r="AI273" s="684">
        <v>20</v>
      </c>
      <c r="AJ273" s="684">
        <v>40</v>
      </c>
      <c r="AK273" s="1477" t="s">
        <v>20</v>
      </c>
      <c r="AL273" s="1477"/>
      <c r="AM273" s="1467">
        <v>68.400000000000006</v>
      </c>
      <c r="AN273" s="1468"/>
      <c r="AO273" s="707" t="s">
        <v>32</v>
      </c>
      <c r="AP273" s="55"/>
      <c r="AQ273" s="55"/>
      <c r="AR273" s="801"/>
      <c r="AS273" s="348"/>
    </row>
    <row r="274" spans="2:45" ht="15.6" hidden="1" customHeight="1" x14ac:dyDescent="0.25">
      <c r="B274" s="1531"/>
      <c r="C274" s="431" t="s">
        <v>328</v>
      </c>
      <c r="D274" s="687"/>
      <c r="E274" s="687"/>
      <c r="F274" s="687"/>
      <c r="G274" s="686">
        <v>25</v>
      </c>
      <c r="H274" s="1085">
        <v>5</v>
      </c>
      <c r="I274" s="1477">
        <v>200</v>
      </c>
      <c r="J274" s="1477"/>
      <c r="K274" s="684">
        <v>0</v>
      </c>
      <c r="L274" s="684">
        <v>20</v>
      </c>
      <c r="M274" s="684">
        <v>20</v>
      </c>
      <c r="N274" s="684">
        <v>40</v>
      </c>
      <c r="O274" s="1477" t="s">
        <v>22</v>
      </c>
      <c r="P274" s="1477"/>
      <c r="Q274" s="1467">
        <v>67.319999999999993</v>
      </c>
      <c r="R274" s="1468"/>
      <c r="S274" s="707">
        <v>0</v>
      </c>
      <c r="T274" s="706"/>
      <c r="U274" s="706"/>
      <c r="V274" s="801"/>
      <c r="W274" s="348"/>
      <c r="X274" s="1531"/>
      <c r="Y274" s="431" t="s">
        <v>328</v>
      </c>
      <c r="Z274" s="687"/>
      <c r="AA274" s="687"/>
      <c r="AB274" s="687"/>
      <c r="AC274" s="686">
        <v>25</v>
      </c>
      <c r="AD274" s="1085">
        <v>5</v>
      </c>
      <c r="AE274" s="1477">
        <v>200</v>
      </c>
      <c r="AF274" s="1477"/>
      <c r="AG274" s="684">
        <v>0</v>
      </c>
      <c r="AH274" s="684">
        <v>20</v>
      </c>
      <c r="AI274" s="684">
        <v>20</v>
      </c>
      <c r="AJ274" s="684">
        <v>40</v>
      </c>
      <c r="AK274" s="1477" t="s">
        <v>22</v>
      </c>
      <c r="AL274" s="1477"/>
      <c r="AM274" s="1467">
        <v>69.02</v>
      </c>
      <c r="AN274" s="1468"/>
      <c r="AO274" s="707" t="s">
        <v>32</v>
      </c>
      <c r="AP274" s="706"/>
      <c r="AQ274" s="706"/>
      <c r="AR274" s="801"/>
      <c r="AS274" s="348"/>
    </row>
    <row r="275" spans="2:45" ht="15.6" hidden="1" customHeight="1" x14ac:dyDescent="0.25">
      <c r="B275" s="1531"/>
      <c r="C275" s="431" t="s">
        <v>357</v>
      </c>
      <c r="D275" s="687"/>
      <c r="E275" s="687"/>
      <c r="F275" s="687"/>
      <c r="G275" s="686">
        <v>26</v>
      </c>
      <c r="H275" s="1085">
        <v>2</v>
      </c>
      <c r="I275" s="1477">
        <v>200</v>
      </c>
      <c r="J275" s="1477"/>
      <c r="K275" s="684">
        <v>0</v>
      </c>
      <c r="L275" s="684">
        <v>20</v>
      </c>
      <c r="M275" s="684">
        <v>20</v>
      </c>
      <c r="N275" s="684">
        <v>40</v>
      </c>
      <c r="O275" s="1477" t="s">
        <v>23</v>
      </c>
      <c r="P275" s="1477"/>
      <c r="Q275" s="1467">
        <v>67.7</v>
      </c>
      <c r="R275" s="1468"/>
      <c r="S275" s="707">
        <v>0</v>
      </c>
      <c r="T275" s="706"/>
      <c r="U275" s="706"/>
      <c r="V275" s="801"/>
      <c r="W275" s="348"/>
      <c r="X275" s="1531"/>
      <c r="Y275" s="431" t="s">
        <v>357</v>
      </c>
      <c r="Z275" s="687"/>
      <c r="AA275" s="687"/>
      <c r="AB275" s="687"/>
      <c r="AC275" s="686">
        <v>26</v>
      </c>
      <c r="AD275" s="1085">
        <v>2</v>
      </c>
      <c r="AE275" s="1477">
        <v>200</v>
      </c>
      <c r="AF275" s="1477"/>
      <c r="AG275" s="684">
        <v>0</v>
      </c>
      <c r="AH275" s="684">
        <v>20</v>
      </c>
      <c r="AI275" s="684">
        <v>20</v>
      </c>
      <c r="AJ275" s="684">
        <v>40</v>
      </c>
      <c r="AK275" s="1477" t="s">
        <v>23</v>
      </c>
      <c r="AL275" s="1477"/>
      <c r="AM275" s="1467">
        <v>71</v>
      </c>
      <c r="AN275" s="1468"/>
      <c r="AO275" s="707">
        <v>0</v>
      </c>
      <c r="AP275" s="706"/>
      <c r="AQ275" s="706"/>
      <c r="AR275" s="801"/>
      <c r="AS275" s="348"/>
    </row>
    <row r="276" spans="2:45" ht="15.6" hidden="1" customHeight="1" x14ac:dyDescent="0.25">
      <c r="B276" s="1531"/>
      <c r="C276" s="431" t="s">
        <v>345</v>
      </c>
      <c r="D276" s="687"/>
      <c r="E276" s="687"/>
      <c r="F276" s="687"/>
      <c r="G276" s="686">
        <v>26</v>
      </c>
      <c r="H276" s="1085">
        <v>3</v>
      </c>
      <c r="I276" s="1477">
        <v>200</v>
      </c>
      <c r="J276" s="1477"/>
      <c r="K276" s="684"/>
      <c r="L276" s="684">
        <v>20</v>
      </c>
      <c r="M276" s="684">
        <v>20</v>
      </c>
      <c r="N276" s="684">
        <v>40</v>
      </c>
      <c r="O276" s="1477" t="s">
        <v>23</v>
      </c>
      <c r="P276" s="1477"/>
      <c r="Q276" s="1468">
        <v>67.5</v>
      </c>
      <c r="R276" s="1478"/>
      <c r="S276" s="707">
        <v>0</v>
      </c>
      <c r="T276" s="706"/>
      <c r="U276" s="706"/>
      <c r="V276" s="801"/>
      <c r="W276" s="348"/>
      <c r="X276" s="1531"/>
      <c r="Y276" s="431" t="s">
        <v>345</v>
      </c>
      <c r="Z276" s="687"/>
      <c r="AA276" s="687"/>
      <c r="AB276" s="687"/>
      <c r="AC276" s="686">
        <v>26</v>
      </c>
      <c r="AD276" s="1085">
        <v>3</v>
      </c>
      <c r="AE276" s="1477">
        <v>200</v>
      </c>
      <c r="AF276" s="1477"/>
      <c r="AG276" s="684"/>
      <c r="AH276" s="684">
        <v>20</v>
      </c>
      <c r="AI276" s="684">
        <v>20</v>
      </c>
      <c r="AJ276" s="684">
        <v>40</v>
      </c>
      <c r="AK276" s="1477" t="s">
        <v>23</v>
      </c>
      <c r="AL276" s="1477"/>
      <c r="AM276" s="1468">
        <v>70.05</v>
      </c>
      <c r="AN276" s="1478"/>
      <c r="AO276" s="707">
        <v>0</v>
      </c>
      <c r="AP276" s="706"/>
      <c r="AQ276" s="706"/>
      <c r="AR276" s="801"/>
      <c r="AS276" s="348"/>
    </row>
    <row r="277" spans="2:45" ht="15.6" hidden="1" customHeight="1" x14ac:dyDescent="0.25">
      <c r="B277" s="1531"/>
      <c r="C277" s="431" t="s">
        <v>359</v>
      </c>
      <c r="D277" s="687"/>
      <c r="E277" s="687"/>
      <c r="F277" s="687"/>
      <c r="G277" s="686">
        <v>27</v>
      </c>
      <c r="H277" s="1085">
        <v>3</v>
      </c>
      <c r="I277" s="1477">
        <v>200</v>
      </c>
      <c r="J277" s="1477"/>
      <c r="K277" s="684">
        <v>0</v>
      </c>
      <c r="L277" s="684">
        <v>20</v>
      </c>
      <c r="M277" s="684">
        <v>20</v>
      </c>
      <c r="N277" s="684">
        <v>40</v>
      </c>
      <c r="O277" s="1477" t="s">
        <v>24</v>
      </c>
      <c r="P277" s="1477"/>
      <c r="Q277" s="1467">
        <v>67.680000000000007</v>
      </c>
      <c r="R277" s="1468"/>
      <c r="S277" s="707">
        <v>0</v>
      </c>
      <c r="T277" s="706"/>
      <c r="U277" s="706"/>
      <c r="V277" s="801"/>
      <c r="W277" s="348"/>
      <c r="X277" s="1531"/>
      <c r="Y277" s="431" t="s">
        <v>359</v>
      </c>
      <c r="Z277" s="687"/>
      <c r="AA277" s="687"/>
      <c r="AB277" s="687"/>
      <c r="AC277" s="686">
        <v>27</v>
      </c>
      <c r="AD277" s="1085">
        <v>3</v>
      </c>
      <c r="AE277" s="1477">
        <v>200</v>
      </c>
      <c r="AF277" s="1477"/>
      <c r="AG277" s="684">
        <v>0</v>
      </c>
      <c r="AH277" s="684">
        <v>20</v>
      </c>
      <c r="AI277" s="684">
        <v>20</v>
      </c>
      <c r="AJ277" s="684">
        <v>40</v>
      </c>
      <c r="AK277" s="1477" t="s">
        <v>24</v>
      </c>
      <c r="AL277" s="1477"/>
      <c r="AM277" s="1467">
        <v>71.08</v>
      </c>
      <c r="AN277" s="1468"/>
      <c r="AO277" s="707">
        <v>0</v>
      </c>
      <c r="AP277" s="706"/>
      <c r="AQ277" s="706"/>
      <c r="AR277" s="801"/>
      <c r="AS277" s="348"/>
    </row>
    <row r="278" spans="2:45" ht="15.6" hidden="1" customHeight="1" x14ac:dyDescent="0.25">
      <c r="B278" s="1531"/>
      <c r="C278" s="431" t="s">
        <v>368</v>
      </c>
      <c r="D278" s="687"/>
      <c r="E278" s="687"/>
      <c r="F278" s="687"/>
      <c r="G278" s="686">
        <v>28</v>
      </c>
      <c r="H278" s="1085">
        <v>1</v>
      </c>
      <c r="I278" s="1477">
        <v>180</v>
      </c>
      <c r="J278" s="1477"/>
      <c r="K278" s="684">
        <v>0</v>
      </c>
      <c r="L278" s="684">
        <v>45</v>
      </c>
      <c r="M278" s="684">
        <v>15</v>
      </c>
      <c r="N278" s="684">
        <v>60</v>
      </c>
      <c r="O278" s="1477" t="s">
        <v>16</v>
      </c>
      <c r="P278" s="1477"/>
      <c r="Q278" s="1467">
        <v>67.12</v>
      </c>
      <c r="R278" s="1468"/>
      <c r="S278" s="707">
        <v>0</v>
      </c>
      <c r="T278" s="1479" t="s">
        <v>1004</v>
      </c>
      <c r="U278" s="1395"/>
      <c r="V278" s="1395"/>
      <c r="W278" s="1480"/>
      <c r="X278" s="1531"/>
      <c r="Y278" s="431" t="s">
        <v>368</v>
      </c>
      <c r="Z278" s="687"/>
      <c r="AA278" s="687"/>
      <c r="AB278" s="687"/>
      <c r="AC278" s="686">
        <v>28</v>
      </c>
      <c r="AD278" s="1085">
        <v>1</v>
      </c>
      <c r="AE278" s="1477">
        <v>180</v>
      </c>
      <c r="AF278" s="1477"/>
      <c r="AG278" s="684">
        <v>0</v>
      </c>
      <c r="AH278" s="684">
        <v>45</v>
      </c>
      <c r="AI278" s="684">
        <v>15</v>
      </c>
      <c r="AJ278" s="684">
        <v>60</v>
      </c>
      <c r="AK278" s="1477" t="s">
        <v>16</v>
      </c>
      <c r="AL278" s="1477"/>
      <c r="AM278" s="1467">
        <v>65.849999999999994</v>
      </c>
      <c r="AN278" s="1468"/>
      <c r="AO278" s="707">
        <v>0</v>
      </c>
      <c r="AP278" s="1479" t="s">
        <v>1004</v>
      </c>
      <c r="AQ278" s="1395"/>
      <c r="AR278" s="1395"/>
      <c r="AS278" s="1480"/>
    </row>
    <row r="279" spans="2:45" ht="15.6" hidden="1" customHeight="1" x14ac:dyDescent="0.25">
      <c r="B279" s="1531"/>
      <c r="C279" s="431" t="s">
        <v>371</v>
      </c>
      <c r="D279" s="687"/>
      <c r="E279" s="687"/>
      <c r="F279" s="687"/>
      <c r="G279" s="686">
        <v>28</v>
      </c>
      <c r="H279" s="1085">
        <v>1</v>
      </c>
      <c r="I279" s="1477">
        <v>180</v>
      </c>
      <c r="J279" s="1477"/>
      <c r="K279" s="684">
        <v>0</v>
      </c>
      <c r="L279" s="684">
        <v>40</v>
      </c>
      <c r="M279" s="684">
        <v>20</v>
      </c>
      <c r="N279" s="684">
        <v>60</v>
      </c>
      <c r="O279" s="1477" t="s">
        <v>16</v>
      </c>
      <c r="P279" s="1477"/>
      <c r="Q279" s="1467">
        <v>67.08</v>
      </c>
      <c r="R279" s="1468"/>
      <c r="S279" s="707">
        <v>0</v>
      </c>
      <c r="T279" s="1479"/>
      <c r="U279" s="1395"/>
      <c r="V279" s="1395"/>
      <c r="W279" s="1480"/>
      <c r="X279" s="1531"/>
      <c r="Y279" s="431" t="s">
        <v>371</v>
      </c>
      <c r="Z279" s="687"/>
      <c r="AA279" s="687"/>
      <c r="AB279" s="687"/>
      <c r="AC279" s="686">
        <v>28</v>
      </c>
      <c r="AD279" s="1085">
        <v>1</v>
      </c>
      <c r="AE279" s="1477">
        <v>180</v>
      </c>
      <c r="AF279" s="1477"/>
      <c r="AG279" s="684">
        <v>0</v>
      </c>
      <c r="AH279" s="684">
        <v>40</v>
      </c>
      <c r="AI279" s="684">
        <v>20</v>
      </c>
      <c r="AJ279" s="684">
        <v>60</v>
      </c>
      <c r="AK279" s="1477" t="s">
        <v>16</v>
      </c>
      <c r="AL279" s="1477"/>
      <c r="AM279" s="1467">
        <v>65.849999999999994</v>
      </c>
      <c r="AN279" s="1468"/>
      <c r="AO279" s="707">
        <v>0</v>
      </c>
      <c r="AP279" s="1479"/>
      <c r="AQ279" s="1395"/>
      <c r="AR279" s="1395"/>
      <c r="AS279" s="1480"/>
    </row>
    <row r="280" spans="2:45" ht="15.6" hidden="1" customHeight="1" x14ac:dyDescent="0.25">
      <c r="B280" s="1531"/>
      <c r="C280" s="431" t="s">
        <v>375</v>
      </c>
      <c r="D280" s="687"/>
      <c r="E280" s="687"/>
      <c r="F280" s="687"/>
      <c r="G280" s="686">
        <v>28</v>
      </c>
      <c r="H280" s="1085">
        <v>1</v>
      </c>
      <c r="I280" s="1477">
        <v>180</v>
      </c>
      <c r="J280" s="1477"/>
      <c r="K280" s="684">
        <v>0</v>
      </c>
      <c r="L280" s="684">
        <v>30</v>
      </c>
      <c r="M280" s="684">
        <v>30</v>
      </c>
      <c r="N280" s="684">
        <v>60</v>
      </c>
      <c r="O280" s="1477" t="s">
        <v>16</v>
      </c>
      <c r="P280" s="1477"/>
      <c r="Q280" s="1467">
        <v>66.94</v>
      </c>
      <c r="R280" s="1468"/>
      <c r="S280" s="707">
        <v>0</v>
      </c>
      <c r="T280" s="1479"/>
      <c r="U280" s="1395"/>
      <c r="V280" s="1395"/>
      <c r="W280" s="1480"/>
      <c r="X280" s="1531"/>
      <c r="Y280" s="431" t="s">
        <v>375</v>
      </c>
      <c r="Z280" s="687"/>
      <c r="AA280" s="687"/>
      <c r="AB280" s="687"/>
      <c r="AC280" s="686">
        <v>28</v>
      </c>
      <c r="AD280" s="1085">
        <v>1</v>
      </c>
      <c r="AE280" s="1477">
        <v>180</v>
      </c>
      <c r="AF280" s="1477"/>
      <c r="AG280" s="684">
        <v>0</v>
      </c>
      <c r="AH280" s="684">
        <v>30</v>
      </c>
      <c r="AI280" s="684">
        <v>30</v>
      </c>
      <c r="AJ280" s="684">
        <v>60</v>
      </c>
      <c r="AK280" s="1477" t="s">
        <v>16</v>
      </c>
      <c r="AL280" s="1477"/>
      <c r="AM280" s="1467">
        <v>65.56</v>
      </c>
      <c r="AN280" s="1468"/>
      <c r="AO280" s="707">
        <v>0</v>
      </c>
      <c r="AP280" s="1479"/>
      <c r="AQ280" s="1395"/>
      <c r="AR280" s="1395"/>
      <c r="AS280" s="1480"/>
    </row>
    <row r="281" spans="2:45" ht="15.6" hidden="1" customHeight="1" x14ac:dyDescent="0.25">
      <c r="B281" s="1531"/>
      <c r="C281" s="431" t="s">
        <v>378</v>
      </c>
      <c r="D281" s="687"/>
      <c r="E281" s="687"/>
      <c r="F281" s="687"/>
      <c r="G281" s="686">
        <v>28</v>
      </c>
      <c r="H281" s="1085">
        <v>1</v>
      </c>
      <c r="I281" s="1477">
        <v>180</v>
      </c>
      <c r="J281" s="1477"/>
      <c r="K281" s="684">
        <v>0</v>
      </c>
      <c r="L281" s="684">
        <v>60</v>
      </c>
      <c r="M281" s="684">
        <v>0</v>
      </c>
      <c r="N281" s="684">
        <v>60</v>
      </c>
      <c r="O281" s="1477" t="s">
        <v>16</v>
      </c>
      <c r="P281" s="1477"/>
      <c r="Q281" s="1467">
        <v>67.42</v>
      </c>
      <c r="R281" s="1468"/>
      <c r="S281" s="707">
        <v>0</v>
      </c>
      <c r="T281" s="1479"/>
      <c r="U281" s="1395"/>
      <c r="V281" s="1395"/>
      <c r="W281" s="1480"/>
      <c r="X281" s="1531"/>
      <c r="Y281" s="431" t="s">
        <v>378</v>
      </c>
      <c r="Z281" s="687"/>
      <c r="AA281" s="687"/>
      <c r="AB281" s="687"/>
      <c r="AC281" s="686">
        <v>28</v>
      </c>
      <c r="AD281" s="1085">
        <v>1</v>
      </c>
      <c r="AE281" s="1477">
        <v>180</v>
      </c>
      <c r="AF281" s="1477"/>
      <c r="AG281" s="684">
        <v>0</v>
      </c>
      <c r="AH281" s="684">
        <v>60</v>
      </c>
      <c r="AI281" s="684">
        <v>0</v>
      </c>
      <c r="AJ281" s="684">
        <v>60</v>
      </c>
      <c r="AK281" s="1477" t="s">
        <v>16</v>
      </c>
      <c r="AL281" s="1477"/>
      <c r="AM281" s="1467">
        <v>66.17</v>
      </c>
      <c r="AN281" s="1468"/>
      <c r="AO281" s="707">
        <v>0</v>
      </c>
      <c r="AP281" s="1479"/>
      <c r="AQ281" s="1395"/>
      <c r="AR281" s="1395"/>
      <c r="AS281" s="1480"/>
    </row>
    <row r="282" spans="2:45" ht="15.6" hidden="1" customHeight="1" x14ac:dyDescent="0.25">
      <c r="B282" s="1531"/>
      <c r="C282" s="431" t="s">
        <v>1053</v>
      </c>
      <c r="D282" s="687"/>
      <c r="E282" s="687"/>
      <c r="F282" s="687"/>
      <c r="G282" s="686">
        <v>28</v>
      </c>
      <c r="H282" s="1085">
        <v>1</v>
      </c>
      <c r="I282" s="1477">
        <v>180</v>
      </c>
      <c r="J282" s="1477"/>
      <c r="K282" s="684">
        <v>0</v>
      </c>
      <c r="L282" s="684">
        <v>0</v>
      </c>
      <c r="M282" s="684">
        <v>0</v>
      </c>
      <c r="N282" s="684">
        <v>60</v>
      </c>
      <c r="O282" s="1477" t="s">
        <v>16</v>
      </c>
      <c r="P282" s="1477"/>
      <c r="Q282" s="1467">
        <v>67.95</v>
      </c>
      <c r="R282" s="1468"/>
      <c r="S282" s="707">
        <v>0</v>
      </c>
      <c r="T282" s="1479"/>
      <c r="U282" s="1395"/>
      <c r="V282" s="1395"/>
      <c r="W282" s="1480"/>
      <c r="X282" s="1531"/>
      <c r="Y282" s="431" t="s">
        <v>1053</v>
      </c>
      <c r="Z282" s="687"/>
      <c r="AA282" s="687"/>
      <c r="AB282" s="687"/>
      <c r="AC282" s="686">
        <v>28</v>
      </c>
      <c r="AD282" s="1085">
        <v>1</v>
      </c>
      <c r="AE282" s="1477">
        <v>180</v>
      </c>
      <c r="AF282" s="1477"/>
      <c r="AG282" s="684">
        <v>0</v>
      </c>
      <c r="AH282" s="684">
        <v>0</v>
      </c>
      <c r="AI282" s="684">
        <v>0</v>
      </c>
      <c r="AJ282" s="684">
        <v>60</v>
      </c>
      <c r="AK282" s="1477" t="s">
        <v>16</v>
      </c>
      <c r="AL282" s="1477"/>
      <c r="AM282" s="1467">
        <v>67.599999999999994</v>
      </c>
      <c r="AN282" s="1468"/>
      <c r="AO282" s="707">
        <v>0</v>
      </c>
      <c r="AP282" s="1479"/>
      <c r="AQ282" s="1395"/>
      <c r="AR282" s="1395"/>
      <c r="AS282" s="1480"/>
    </row>
    <row r="283" spans="2:45" ht="15.6" hidden="1" customHeight="1" x14ac:dyDescent="0.25">
      <c r="B283" s="1531"/>
      <c r="C283" s="431" t="s">
        <v>384</v>
      </c>
      <c r="D283" s="687"/>
      <c r="E283" s="687"/>
      <c r="F283" s="687"/>
      <c r="G283" s="686">
        <v>29</v>
      </c>
      <c r="H283" s="1085">
        <v>2</v>
      </c>
      <c r="I283" s="1477">
        <v>180</v>
      </c>
      <c r="J283" s="1477"/>
      <c r="K283" s="684">
        <v>0</v>
      </c>
      <c r="L283" s="684">
        <v>30</v>
      </c>
      <c r="M283" s="684">
        <v>30</v>
      </c>
      <c r="N283" s="684">
        <v>60</v>
      </c>
      <c r="O283" s="1477" t="s">
        <v>23</v>
      </c>
      <c r="P283" s="1477"/>
      <c r="Q283" s="1467">
        <v>67.81</v>
      </c>
      <c r="R283" s="1468"/>
      <c r="S283" s="707">
        <v>0</v>
      </c>
      <c r="T283" s="1479"/>
      <c r="U283" s="1395"/>
      <c r="V283" s="1395"/>
      <c r="W283" s="1480"/>
      <c r="X283" s="1531"/>
      <c r="Y283" s="431" t="s">
        <v>384</v>
      </c>
      <c r="Z283" s="687"/>
      <c r="AA283" s="687"/>
      <c r="AB283" s="687"/>
      <c r="AC283" s="686">
        <v>29</v>
      </c>
      <c r="AD283" s="1085">
        <v>2</v>
      </c>
      <c r="AE283" s="1477">
        <v>180</v>
      </c>
      <c r="AF283" s="1477"/>
      <c r="AG283" s="684">
        <v>0</v>
      </c>
      <c r="AH283" s="684">
        <v>30</v>
      </c>
      <c r="AI283" s="684">
        <v>30</v>
      </c>
      <c r="AJ283" s="684">
        <v>60</v>
      </c>
      <c r="AK283" s="1477" t="s">
        <v>23</v>
      </c>
      <c r="AL283" s="1477"/>
      <c r="AM283" s="1467">
        <v>70.61</v>
      </c>
      <c r="AN283" s="1468"/>
      <c r="AO283" s="707">
        <v>0</v>
      </c>
      <c r="AP283" s="1479"/>
      <c r="AQ283" s="1395"/>
      <c r="AR283" s="1395"/>
      <c r="AS283" s="1480"/>
    </row>
    <row r="284" spans="2:45" ht="15.6" hidden="1" customHeight="1" x14ac:dyDescent="0.25">
      <c r="B284" s="1531"/>
      <c r="C284" s="431" t="s">
        <v>392</v>
      </c>
      <c r="D284" s="687"/>
      <c r="E284" s="687"/>
      <c r="F284" s="687"/>
      <c r="G284" s="686">
        <v>30</v>
      </c>
      <c r="H284" s="1085">
        <v>1</v>
      </c>
      <c r="I284" s="1477">
        <v>180</v>
      </c>
      <c r="J284" s="1477"/>
      <c r="K284" s="684">
        <v>0</v>
      </c>
      <c r="L284" s="684">
        <v>30</v>
      </c>
      <c r="M284" s="684">
        <v>30</v>
      </c>
      <c r="N284" s="684">
        <v>60</v>
      </c>
      <c r="O284" s="1477" t="s">
        <v>24</v>
      </c>
      <c r="P284" s="1477"/>
      <c r="Q284" s="1467">
        <v>67.98</v>
      </c>
      <c r="R284" s="1468"/>
      <c r="S284" s="707">
        <v>0</v>
      </c>
      <c r="T284" s="1479"/>
      <c r="U284" s="1395"/>
      <c r="V284" s="1395"/>
      <c r="W284" s="1480"/>
      <c r="X284" s="1531"/>
      <c r="Y284" s="431" t="s">
        <v>392</v>
      </c>
      <c r="Z284" s="687"/>
      <c r="AA284" s="687"/>
      <c r="AB284" s="687"/>
      <c r="AC284" s="686">
        <v>30</v>
      </c>
      <c r="AD284" s="1085">
        <v>1</v>
      </c>
      <c r="AE284" s="1477">
        <v>180</v>
      </c>
      <c r="AF284" s="1477"/>
      <c r="AG284" s="684">
        <v>0</v>
      </c>
      <c r="AH284" s="684">
        <v>30</v>
      </c>
      <c r="AI284" s="684">
        <v>30</v>
      </c>
      <c r="AJ284" s="684">
        <v>60</v>
      </c>
      <c r="AK284" s="1477" t="s">
        <v>24</v>
      </c>
      <c r="AL284" s="1477"/>
      <c r="AM284" s="1467">
        <v>71.62</v>
      </c>
      <c r="AN284" s="1468"/>
      <c r="AO284" s="707">
        <v>0</v>
      </c>
      <c r="AP284" s="1479"/>
      <c r="AQ284" s="1395"/>
      <c r="AR284" s="1395"/>
      <c r="AS284" s="1480"/>
    </row>
    <row r="285" spans="2:45" ht="15.6" hidden="1" customHeight="1" x14ac:dyDescent="0.25">
      <c r="B285" s="1531"/>
      <c r="C285" s="704" t="s">
        <v>925</v>
      </c>
      <c r="D285" s="687"/>
      <c r="E285" s="687"/>
      <c r="F285" s="687"/>
      <c r="G285" s="686">
        <v>31</v>
      </c>
      <c r="H285" s="1085">
        <v>1</v>
      </c>
      <c r="I285" s="1477">
        <v>160</v>
      </c>
      <c r="J285" s="1477"/>
      <c r="K285" s="684"/>
      <c r="L285" s="684"/>
      <c r="M285" s="684"/>
      <c r="N285" s="684">
        <v>80</v>
      </c>
      <c r="O285" s="1477" t="s">
        <v>16</v>
      </c>
      <c r="P285" s="1477"/>
      <c r="Q285" s="1467">
        <v>67.88</v>
      </c>
      <c r="R285" s="1468"/>
      <c r="S285" s="707">
        <v>0</v>
      </c>
      <c r="T285" s="1479"/>
      <c r="U285" s="1395"/>
      <c r="V285" s="1395"/>
      <c r="W285" s="1480"/>
      <c r="X285" s="1531"/>
      <c r="Y285" s="704" t="s">
        <v>925</v>
      </c>
      <c r="Z285" s="687"/>
      <c r="AA285" s="687"/>
      <c r="AB285" s="687"/>
      <c r="AC285" s="686">
        <v>31</v>
      </c>
      <c r="AD285" s="1085">
        <v>1</v>
      </c>
      <c r="AE285" s="1477">
        <v>160</v>
      </c>
      <c r="AF285" s="1477"/>
      <c r="AG285" s="684"/>
      <c r="AH285" s="684"/>
      <c r="AI285" s="684"/>
      <c r="AJ285" s="684">
        <v>80</v>
      </c>
      <c r="AK285" s="1477" t="s">
        <v>16</v>
      </c>
      <c r="AL285" s="1477"/>
      <c r="AM285" s="1467">
        <v>70.25</v>
      </c>
      <c r="AN285" s="1468"/>
      <c r="AO285" s="707">
        <v>0</v>
      </c>
      <c r="AP285" s="1479"/>
      <c r="AQ285" s="1395"/>
      <c r="AR285" s="1395"/>
      <c r="AS285" s="1480"/>
    </row>
    <row r="286" spans="2:45" ht="15.6" hidden="1" customHeight="1" x14ac:dyDescent="0.25">
      <c r="B286" s="1531"/>
      <c r="C286" s="431" t="s">
        <v>399</v>
      </c>
      <c r="D286" s="687"/>
      <c r="E286" s="687"/>
      <c r="F286" s="687"/>
      <c r="G286" s="686">
        <v>32</v>
      </c>
      <c r="H286" s="1085">
        <v>1</v>
      </c>
      <c r="I286" s="1477">
        <v>160</v>
      </c>
      <c r="J286" s="1477"/>
      <c r="K286" s="684">
        <v>0</v>
      </c>
      <c r="L286" s="684">
        <v>80</v>
      </c>
      <c r="M286" s="684">
        <v>0</v>
      </c>
      <c r="N286" s="684">
        <v>80</v>
      </c>
      <c r="O286" s="1466" t="s">
        <v>1128</v>
      </c>
      <c r="P286" s="1466"/>
      <c r="Q286" s="1467">
        <v>67.58</v>
      </c>
      <c r="R286" s="1468"/>
      <c r="S286" s="707">
        <v>0</v>
      </c>
      <c r="T286" s="1479"/>
      <c r="U286" s="1395"/>
      <c r="V286" s="1395"/>
      <c r="W286" s="1480"/>
      <c r="X286" s="1531"/>
      <c r="Y286" s="431" t="s">
        <v>399</v>
      </c>
      <c r="Z286" s="687"/>
      <c r="AA286" s="687"/>
      <c r="AB286" s="687"/>
      <c r="AC286" s="686">
        <v>32</v>
      </c>
      <c r="AD286" s="1085">
        <v>1</v>
      </c>
      <c r="AE286" s="1477">
        <v>160</v>
      </c>
      <c r="AF286" s="1477"/>
      <c r="AG286" s="684">
        <v>0</v>
      </c>
      <c r="AH286" s="684">
        <v>80</v>
      </c>
      <c r="AI286" s="684">
        <v>0</v>
      </c>
      <c r="AJ286" s="684">
        <v>80</v>
      </c>
      <c r="AK286" s="1466" t="s">
        <v>1128</v>
      </c>
      <c r="AL286" s="1466"/>
      <c r="AM286" s="1467">
        <v>70.959999999999994</v>
      </c>
      <c r="AN286" s="1468"/>
      <c r="AO286" s="707">
        <v>0</v>
      </c>
      <c r="AP286" s="1479"/>
      <c r="AQ286" s="1395"/>
      <c r="AR286" s="1395"/>
      <c r="AS286" s="1480"/>
    </row>
    <row r="287" spans="2:45" ht="15.6" hidden="1" customHeight="1" x14ac:dyDescent="0.25">
      <c r="B287" s="1531"/>
      <c r="C287" s="431" t="s">
        <v>405</v>
      </c>
      <c r="D287" s="687"/>
      <c r="E287" s="687"/>
      <c r="F287" s="687"/>
      <c r="G287" s="453">
        <v>33</v>
      </c>
      <c r="H287" s="1086">
        <v>1</v>
      </c>
      <c r="I287" s="1469">
        <v>120</v>
      </c>
      <c r="J287" s="1469"/>
      <c r="K287" s="617" t="s">
        <v>408</v>
      </c>
      <c r="L287" s="617">
        <v>90</v>
      </c>
      <c r="M287" s="617">
        <v>30</v>
      </c>
      <c r="N287" s="617">
        <v>120</v>
      </c>
      <c r="O287" s="1469" t="s">
        <v>16</v>
      </c>
      <c r="P287" s="1469"/>
      <c r="Q287" s="1470">
        <v>68.42</v>
      </c>
      <c r="R287" s="1471"/>
      <c r="S287" s="707" t="s">
        <v>32</v>
      </c>
      <c r="T287" s="1479"/>
      <c r="U287" s="1395"/>
      <c r="V287" s="1395"/>
      <c r="W287" s="1480"/>
      <c r="X287" s="1531"/>
      <c r="Y287" s="431" t="s">
        <v>405</v>
      </c>
      <c r="Z287" s="687"/>
      <c r="AA287" s="687"/>
      <c r="AB287" s="687"/>
      <c r="AC287" s="453">
        <v>33</v>
      </c>
      <c r="AD287" s="1086">
        <v>1</v>
      </c>
      <c r="AE287" s="1469">
        <v>120</v>
      </c>
      <c r="AF287" s="1469"/>
      <c r="AG287" s="617" t="s">
        <v>408</v>
      </c>
      <c r="AH287" s="617">
        <v>90</v>
      </c>
      <c r="AI287" s="617">
        <v>30</v>
      </c>
      <c r="AJ287" s="617">
        <v>120</v>
      </c>
      <c r="AK287" s="1469" t="s">
        <v>16</v>
      </c>
      <c r="AL287" s="1469"/>
      <c r="AM287" s="1470">
        <v>71.75</v>
      </c>
      <c r="AN287" s="1471"/>
      <c r="AO287" s="707">
        <v>0</v>
      </c>
      <c r="AP287" s="1479"/>
      <c r="AQ287" s="1395"/>
      <c r="AR287" s="1395"/>
      <c r="AS287" s="1480"/>
    </row>
    <row r="288" spans="2:45" ht="15.6" hidden="1" customHeight="1" x14ac:dyDescent="0.25">
      <c r="B288" s="1531"/>
      <c r="C288" s="690" t="s">
        <v>947</v>
      </c>
      <c r="D288" s="442"/>
      <c r="E288" s="442"/>
      <c r="F288" s="442"/>
      <c r="G288" s="313"/>
      <c r="H288" s="1087" t="s">
        <v>29</v>
      </c>
      <c r="I288" s="691"/>
      <c r="J288" s="312"/>
      <c r="K288" s="1187"/>
      <c r="L288" s="1187"/>
      <c r="M288" s="1187"/>
      <c r="N288" s="1187"/>
      <c r="O288" s="1182"/>
      <c r="P288" s="313"/>
      <c r="Q288" s="708"/>
      <c r="R288" s="795"/>
      <c r="S288" s="1075"/>
      <c r="T288" s="1479"/>
      <c r="U288" s="1395"/>
      <c r="V288" s="1395"/>
      <c r="W288" s="1480"/>
      <c r="X288" s="1531"/>
      <c r="Y288" s="690" t="s">
        <v>947</v>
      </c>
      <c r="Z288" s="442"/>
      <c r="AA288" s="442"/>
      <c r="AB288" s="442"/>
      <c r="AC288" s="313"/>
      <c r="AD288" s="1087" t="s">
        <v>29</v>
      </c>
      <c r="AE288" s="691"/>
      <c r="AF288" s="312"/>
      <c r="AG288" s="1187"/>
      <c r="AH288" s="1187"/>
      <c r="AI288" s="1187"/>
      <c r="AJ288" s="1187"/>
      <c r="AK288" s="1182"/>
      <c r="AL288" s="313"/>
      <c r="AM288" s="708"/>
      <c r="AN288" s="795"/>
      <c r="AO288" s="1075"/>
      <c r="AP288" s="1479"/>
      <c r="AQ288" s="1395"/>
      <c r="AR288" s="1395"/>
      <c r="AS288" s="1480"/>
    </row>
    <row r="289" spans="2:45" ht="15.6" hidden="1" customHeight="1" x14ac:dyDescent="0.25">
      <c r="B289" s="1531"/>
      <c r="C289" s="704" t="s">
        <v>970</v>
      </c>
      <c r="D289" s="688"/>
      <c r="E289" s="688"/>
      <c r="F289" s="688"/>
      <c r="G289" s="413">
        <v>35</v>
      </c>
      <c r="H289" s="1088">
        <v>10</v>
      </c>
      <c r="I289" s="1472">
        <v>120</v>
      </c>
      <c r="J289" s="1472"/>
      <c r="K289" s="618">
        <v>0</v>
      </c>
      <c r="L289" s="618">
        <v>0</v>
      </c>
      <c r="M289" s="618">
        <v>0</v>
      </c>
      <c r="N289" s="618">
        <v>0</v>
      </c>
      <c r="O289" s="1472" t="s">
        <v>417</v>
      </c>
      <c r="P289" s="1472"/>
      <c r="Q289" s="1473">
        <v>67.83</v>
      </c>
      <c r="R289" s="1474"/>
      <c r="S289" s="707">
        <v>0</v>
      </c>
      <c r="T289" s="1479"/>
      <c r="U289" s="1395"/>
      <c r="V289" s="1395"/>
      <c r="W289" s="1480"/>
      <c r="X289" s="1531"/>
      <c r="Y289" s="704" t="s">
        <v>970</v>
      </c>
      <c r="Z289" s="688"/>
      <c r="AA289" s="688"/>
      <c r="AB289" s="688"/>
      <c r="AC289" s="413">
        <v>35</v>
      </c>
      <c r="AD289" s="1088">
        <v>10</v>
      </c>
      <c r="AE289" s="1472">
        <v>120</v>
      </c>
      <c r="AF289" s="1472"/>
      <c r="AG289" s="618">
        <v>0</v>
      </c>
      <c r="AH289" s="618">
        <v>0</v>
      </c>
      <c r="AI289" s="618">
        <v>0</v>
      </c>
      <c r="AJ289" s="618">
        <v>0</v>
      </c>
      <c r="AK289" s="1472" t="s">
        <v>417</v>
      </c>
      <c r="AL289" s="1472"/>
      <c r="AM289" s="1473">
        <v>73.67</v>
      </c>
      <c r="AN289" s="1474"/>
      <c r="AO289" s="707">
        <v>0</v>
      </c>
      <c r="AP289" s="1479"/>
      <c r="AQ289" s="1395"/>
      <c r="AR289" s="1395"/>
      <c r="AS289" s="1480"/>
    </row>
    <row r="290" spans="2:45" ht="15.6" hidden="1" customHeight="1" x14ac:dyDescent="0.25">
      <c r="B290" s="1531"/>
      <c r="C290" s="704" t="s">
        <v>447</v>
      </c>
      <c r="D290" s="688"/>
      <c r="E290" s="688"/>
      <c r="F290" s="688"/>
      <c r="G290" s="453">
        <v>36</v>
      </c>
      <c r="H290" s="1086">
        <v>2</v>
      </c>
      <c r="I290" s="1469">
        <v>100</v>
      </c>
      <c r="J290" s="1469"/>
      <c r="K290" s="617">
        <v>0</v>
      </c>
      <c r="L290" s="617">
        <v>0</v>
      </c>
      <c r="M290" s="617">
        <v>20</v>
      </c>
      <c r="N290" s="617">
        <v>20</v>
      </c>
      <c r="O290" s="1469" t="s">
        <v>417</v>
      </c>
      <c r="P290" s="1469"/>
      <c r="Q290" s="1470">
        <v>68.400000000000006</v>
      </c>
      <c r="R290" s="1471"/>
      <c r="S290" s="707" t="s">
        <v>32</v>
      </c>
      <c r="T290" s="1334"/>
      <c r="U290" s="706"/>
      <c r="V290" s="706"/>
      <c r="W290" s="1096"/>
      <c r="X290" s="1531"/>
      <c r="Y290" s="704" t="s">
        <v>447</v>
      </c>
      <c r="Z290" s="688"/>
      <c r="AA290" s="688"/>
      <c r="AB290" s="688"/>
      <c r="AC290" s="453">
        <v>36</v>
      </c>
      <c r="AD290" s="1086">
        <v>2</v>
      </c>
      <c r="AE290" s="1469">
        <v>100</v>
      </c>
      <c r="AF290" s="1469"/>
      <c r="AG290" s="617">
        <v>0</v>
      </c>
      <c r="AH290" s="617">
        <v>0</v>
      </c>
      <c r="AI290" s="617">
        <v>20</v>
      </c>
      <c r="AJ290" s="617">
        <v>20</v>
      </c>
      <c r="AK290" s="1469" t="s">
        <v>417</v>
      </c>
      <c r="AL290" s="1469"/>
      <c r="AM290" s="1470">
        <v>75.2</v>
      </c>
      <c r="AN290" s="1471"/>
      <c r="AO290" s="707">
        <v>0</v>
      </c>
      <c r="AP290" s="1306"/>
      <c r="AQ290" s="794"/>
      <c r="AR290" s="794"/>
      <c r="AS290" s="776"/>
    </row>
    <row r="291" spans="2:45" ht="15.6" hidden="1" customHeight="1" x14ac:dyDescent="0.25">
      <c r="B291" s="1532"/>
      <c r="C291" s="1475" t="s">
        <v>1006</v>
      </c>
      <c r="D291" s="1476"/>
      <c r="E291" s="1476"/>
      <c r="F291" s="1476"/>
      <c r="G291" s="442" t="s">
        <v>856</v>
      </c>
      <c r="H291" s="442"/>
      <c r="I291" s="705"/>
      <c r="J291" s="705"/>
      <c r="K291" s="705"/>
      <c r="L291" s="705"/>
      <c r="M291" s="705"/>
      <c r="N291" s="705"/>
      <c r="O291" s="705"/>
      <c r="P291" s="705"/>
      <c r="Q291" s="705"/>
      <c r="R291" s="702"/>
      <c r="S291" s="1081"/>
      <c r="T291" s="174"/>
      <c r="U291" s="174"/>
      <c r="V291" s="105"/>
      <c r="W291" s="891"/>
      <c r="X291" s="1532"/>
      <c r="Y291" s="1475" t="s">
        <v>1006</v>
      </c>
      <c r="Z291" s="1476"/>
      <c r="AA291" s="1476"/>
      <c r="AB291" s="1476"/>
      <c r="AC291" s="442" t="s">
        <v>856</v>
      </c>
      <c r="AD291" s="442"/>
      <c r="AE291" s="705"/>
      <c r="AF291" s="705"/>
      <c r="AG291" s="705"/>
      <c r="AH291" s="705"/>
      <c r="AI291" s="705"/>
      <c r="AJ291" s="705"/>
      <c r="AK291" s="705"/>
      <c r="AL291" s="705"/>
      <c r="AM291" s="705"/>
      <c r="AN291" s="702"/>
      <c r="AO291" s="1081"/>
      <c r="AP291" s="174"/>
      <c r="AQ291" s="174"/>
      <c r="AR291" s="105"/>
      <c r="AS291" s="891"/>
    </row>
    <row r="292" spans="2:45" ht="15.6" hidden="1" customHeight="1" x14ac:dyDescent="0.25"/>
    <row r="293" spans="2:45" ht="15.6" hidden="1" customHeight="1" x14ac:dyDescent="0.25"/>
    <row r="294" spans="2:45" ht="15.6" hidden="1" customHeight="1" x14ac:dyDescent="0.25"/>
    <row r="295" spans="2:45" ht="15.6" hidden="1" customHeight="1" x14ac:dyDescent="0.25"/>
  </sheetData>
  <sheetProtection password="D0D3" sheet="1" objects="1" scenarios="1"/>
  <sortState ref="M75:AB116">
    <sortCondition descending="1" ref="N75:N116"/>
  </sortState>
  <mergeCells count="1462">
    <mergeCell ref="C29:E29"/>
    <mergeCell ref="J29:L29"/>
    <mergeCell ref="Q29:S29"/>
    <mergeCell ref="J31:L31"/>
    <mergeCell ref="J32:L32"/>
    <mergeCell ref="I76:J76"/>
    <mergeCell ref="O76:P76"/>
    <mergeCell ref="Q30:S30"/>
    <mergeCell ref="J30:L30"/>
    <mergeCell ref="Q31:S31"/>
    <mergeCell ref="Q32:S32"/>
    <mergeCell ref="Q39:T39"/>
    <mergeCell ref="Y30:AA30"/>
    <mergeCell ref="Y31:AA31"/>
    <mergeCell ref="I51:J51"/>
    <mergeCell ref="O51:P51"/>
    <mergeCell ref="I55:J55"/>
    <mergeCell ref="O55:P55"/>
    <mergeCell ref="I48:J48"/>
    <mergeCell ref="O48:P48"/>
    <mergeCell ref="K43:N43"/>
    <mergeCell ref="O43:P44"/>
    <mergeCell ref="U45:V47"/>
    <mergeCell ref="I46:J46"/>
    <mergeCell ref="O46:P46"/>
    <mergeCell ref="Q46:R46"/>
    <mergeCell ref="I47:J47"/>
    <mergeCell ref="O47:P47"/>
    <mergeCell ref="T58:V58"/>
    <mergeCell ref="AM25:AO25"/>
    <mergeCell ref="AF26:AH26"/>
    <mergeCell ref="AM26:AO26"/>
    <mergeCell ref="AF27:AH27"/>
    <mergeCell ref="AM27:AO27"/>
    <mergeCell ref="AF28:AH28"/>
    <mergeCell ref="AM28:AO28"/>
    <mergeCell ref="AF29:AH29"/>
    <mergeCell ref="AM29:AO29"/>
    <mergeCell ref="AM70:AN70"/>
    <mergeCell ref="AE71:AF71"/>
    <mergeCell ref="AK71:AL71"/>
    <mergeCell ref="AM71:AN71"/>
    <mergeCell ref="I64:J64"/>
    <mergeCell ref="O64:P64"/>
    <mergeCell ref="I67:J67"/>
    <mergeCell ref="O67:P67"/>
    <mergeCell ref="I58:J58"/>
    <mergeCell ref="O58:P58"/>
    <mergeCell ref="I61:J61"/>
    <mergeCell ref="O61:P61"/>
    <mergeCell ref="I70:J70"/>
    <mergeCell ref="O70:P70"/>
    <mergeCell ref="Q61:R61"/>
    <mergeCell ref="I62:J62"/>
    <mergeCell ref="O62:P62"/>
    <mergeCell ref="Q62:R62"/>
    <mergeCell ref="I63:J63"/>
    <mergeCell ref="O63:P63"/>
    <mergeCell ref="Q63:R63"/>
    <mergeCell ref="Q58:R58"/>
    <mergeCell ref="Q27:S27"/>
    <mergeCell ref="AM48:AN48"/>
    <mergeCell ref="AF31:AH31"/>
    <mergeCell ref="AK55:AL55"/>
    <mergeCell ref="AE70:AF70"/>
    <mergeCell ref="AK70:AL70"/>
    <mergeCell ref="AM30:AO30"/>
    <mergeCell ref="AF30:AH30"/>
    <mergeCell ref="AM31:AO31"/>
    <mergeCell ref="AM49:AN49"/>
    <mergeCell ref="AM50:AN50"/>
    <mergeCell ref="AM55:AN55"/>
    <mergeCell ref="AE56:AF56"/>
    <mergeCell ref="AK56:AL56"/>
    <mergeCell ref="AM56:AN56"/>
    <mergeCell ref="AE57:AF57"/>
    <mergeCell ref="AK57:AL57"/>
    <mergeCell ref="AM57:AN57"/>
    <mergeCell ref="AM51:AN51"/>
    <mergeCell ref="AE53:AF53"/>
    <mergeCell ref="AK53:AL53"/>
    <mergeCell ref="AM53:AN53"/>
    <mergeCell ref="AE54:AF54"/>
    <mergeCell ref="AK54:AL54"/>
    <mergeCell ref="AM54:AN54"/>
    <mergeCell ref="AF32:AH32"/>
    <mergeCell ref="AM32:AO32"/>
    <mergeCell ref="Y34:AA34"/>
    <mergeCell ref="AF34:AH34"/>
    <mergeCell ref="AM34:AO34"/>
    <mergeCell ref="Y35:AA35"/>
    <mergeCell ref="AF35:AH35"/>
    <mergeCell ref="AM35:AO35"/>
    <mergeCell ref="Y32:AA32"/>
    <mergeCell ref="C25:E25"/>
    <mergeCell ref="J25:L25"/>
    <mergeCell ref="Q25:S25"/>
    <mergeCell ref="C26:E26"/>
    <mergeCell ref="AE64:AF64"/>
    <mergeCell ref="AK64:AL64"/>
    <mergeCell ref="AE67:AF67"/>
    <mergeCell ref="AK67:AL67"/>
    <mergeCell ref="AE58:AF58"/>
    <mergeCell ref="AK58:AL58"/>
    <mergeCell ref="AE61:AF61"/>
    <mergeCell ref="AK61:AL61"/>
    <mergeCell ref="AE50:AF50"/>
    <mergeCell ref="AK50:AL50"/>
    <mergeCell ref="AE51:AF51"/>
    <mergeCell ref="AK51:AL51"/>
    <mergeCell ref="AE48:AF48"/>
    <mergeCell ref="AK48:AL48"/>
    <mergeCell ref="AE49:AF49"/>
    <mergeCell ref="AK49:AL49"/>
    <mergeCell ref="AG43:AJ43"/>
    <mergeCell ref="AK43:AL44"/>
    <mergeCell ref="AE44:AF44"/>
    <mergeCell ref="AF25:AH25"/>
    <mergeCell ref="I59:J59"/>
    <mergeCell ref="C30:E30"/>
    <mergeCell ref="C31:E31"/>
    <mergeCell ref="C32:E32"/>
    <mergeCell ref="J26:L26"/>
    <mergeCell ref="J27:L27"/>
    <mergeCell ref="Q26:S26"/>
    <mergeCell ref="C27:E27"/>
    <mergeCell ref="S43:S44"/>
    <mergeCell ref="I44:J44"/>
    <mergeCell ref="C37:E37"/>
    <mergeCell ref="J37:L37"/>
    <mergeCell ref="Q37:S37"/>
    <mergeCell ref="C38:E38"/>
    <mergeCell ref="J38:L38"/>
    <mergeCell ref="Q38:S38"/>
    <mergeCell ref="C39:F39"/>
    <mergeCell ref="J39:M39"/>
    <mergeCell ref="C35:E35"/>
    <mergeCell ref="J35:L35"/>
    <mergeCell ref="Q35:S35"/>
    <mergeCell ref="C36:E36"/>
    <mergeCell ref="J36:L36"/>
    <mergeCell ref="Q36:S36"/>
    <mergeCell ref="C33:E33"/>
    <mergeCell ref="J33:L33"/>
    <mergeCell ref="Q33:S33"/>
    <mergeCell ref="C34:E34"/>
    <mergeCell ref="J34:L34"/>
    <mergeCell ref="Q34:S34"/>
    <mergeCell ref="C28:E28"/>
    <mergeCell ref="J28:L28"/>
    <mergeCell ref="Q28:S28"/>
    <mergeCell ref="Q55:R55"/>
    <mergeCell ref="I56:J56"/>
    <mergeCell ref="O56:P56"/>
    <mergeCell ref="Q56:R56"/>
    <mergeCell ref="I57:J57"/>
    <mergeCell ref="O57:P57"/>
    <mergeCell ref="Q57:R57"/>
    <mergeCell ref="Q51:R51"/>
    <mergeCell ref="I53:J53"/>
    <mergeCell ref="O53:P53"/>
    <mergeCell ref="Q53:R53"/>
    <mergeCell ref="I54:J54"/>
    <mergeCell ref="O54:P54"/>
    <mergeCell ref="Q54:R54"/>
    <mergeCell ref="Q43:R44"/>
    <mergeCell ref="Q48:R48"/>
    <mergeCell ref="I49:J49"/>
    <mergeCell ref="O49:P49"/>
    <mergeCell ref="Q49:R49"/>
    <mergeCell ref="I50:J50"/>
    <mergeCell ref="O50:P50"/>
    <mergeCell ref="Q50:R50"/>
    <mergeCell ref="Q47:R47"/>
    <mergeCell ref="Q64:R64"/>
    <mergeCell ref="T64:U64"/>
    <mergeCell ref="I65:J65"/>
    <mergeCell ref="O65:P65"/>
    <mergeCell ref="Q65:R65"/>
    <mergeCell ref="I66:J66"/>
    <mergeCell ref="O66:P66"/>
    <mergeCell ref="Q66:R66"/>
    <mergeCell ref="O59:P59"/>
    <mergeCell ref="Q59:R59"/>
    <mergeCell ref="I60:J60"/>
    <mergeCell ref="O60:P60"/>
    <mergeCell ref="Q60:R60"/>
    <mergeCell ref="Q67:R67"/>
    <mergeCell ref="I68:J68"/>
    <mergeCell ref="O68:P68"/>
    <mergeCell ref="Q68:R68"/>
    <mergeCell ref="Y25:AA25"/>
    <mergeCell ref="Y26:AA26"/>
    <mergeCell ref="Y27:AA27"/>
    <mergeCell ref="Y28:AA28"/>
    <mergeCell ref="Y29:AA29"/>
    <mergeCell ref="I84:J84"/>
    <mergeCell ref="O84:P84"/>
    <mergeCell ref="Q84:R84"/>
    <mergeCell ref="I82:J82"/>
    <mergeCell ref="O82:P82"/>
    <mergeCell ref="Q82:R82"/>
    <mergeCell ref="I83:J83"/>
    <mergeCell ref="O83:P83"/>
    <mergeCell ref="Q83:R83"/>
    <mergeCell ref="Q79:R79"/>
    <mergeCell ref="I80:J80"/>
    <mergeCell ref="O80:P80"/>
    <mergeCell ref="Q80:R80"/>
    <mergeCell ref="I81:J81"/>
    <mergeCell ref="Q74:R74"/>
    <mergeCell ref="I75:J75"/>
    <mergeCell ref="O75:P75"/>
    <mergeCell ref="Q75:R75"/>
    <mergeCell ref="Q70:R70"/>
    <mergeCell ref="I71:J71"/>
    <mergeCell ref="O71:P71"/>
    <mergeCell ref="Q71:R71"/>
    <mergeCell ref="I72:J72"/>
    <mergeCell ref="I73:J73"/>
    <mergeCell ref="O73:P73"/>
    <mergeCell ref="I69:J69"/>
    <mergeCell ref="O69:P69"/>
    <mergeCell ref="Y33:AA33"/>
    <mergeCell ref="AF33:AH33"/>
    <mergeCell ref="AM33:AO33"/>
    <mergeCell ref="I87:J87"/>
    <mergeCell ref="O87:P87"/>
    <mergeCell ref="Q87:R87"/>
    <mergeCell ref="O81:P81"/>
    <mergeCell ref="Q81:R81"/>
    <mergeCell ref="Q76:R76"/>
    <mergeCell ref="I77:J77"/>
    <mergeCell ref="O77:P77"/>
    <mergeCell ref="Q77:R77"/>
    <mergeCell ref="I78:J78"/>
    <mergeCell ref="O78:P78"/>
    <mergeCell ref="Q78:R78"/>
    <mergeCell ref="I79:J79"/>
    <mergeCell ref="O79:P79"/>
    <mergeCell ref="Q73:R73"/>
    <mergeCell ref="I74:J74"/>
    <mergeCell ref="O74:P74"/>
    <mergeCell ref="O72:P72"/>
    <mergeCell ref="Q72:R72"/>
    <mergeCell ref="AE72:AF72"/>
    <mergeCell ref="AK72:AL72"/>
    <mergeCell ref="AM72:AN72"/>
    <mergeCell ref="AE73:AF73"/>
    <mergeCell ref="AK73:AL73"/>
    <mergeCell ref="AM73:AN73"/>
    <mergeCell ref="AE69:AF69"/>
    <mergeCell ref="AK69:AL69"/>
    <mergeCell ref="AM69:AN69"/>
    <mergeCell ref="Q69:R69"/>
    <mergeCell ref="AQ45:AR47"/>
    <mergeCell ref="AE46:AF46"/>
    <mergeCell ref="AK46:AL46"/>
    <mergeCell ref="AM46:AN46"/>
    <mergeCell ref="AE47:AF47"/>
    <mergeCell ref="AK47:AL47"/>
    <mergeCell ref="AM47:AN47"/>
    <mergeCell ref="Y38:AA38"/>
    <mergeCell ref="AF38:AH38"/>
    <mergeCell ref="AM38:AO38"/>
    <mergeCell ref="Y39:AB39"/>
    <mergeCell ref="AF39:AI39"/>
    <mergeCell ref="AM39:AP39"/>
    <mergeCell ref="AM43:AN44"/>
    <mergeCell ref="AO43:AO44"/>
    <mergeCell ref="Y36:AA36"/>
    <mergeCell ref="AF36:AH36"/>
    <mergeCell ref="AM36:AO36"/>
    <mergeCell ref="Y37:AA37"/>
    <mergeCell ref="AF37:AH37"/>
    <mergeCell ref="AM37:AO37"/>
    <mergeCell ref="AE55:AF55"/>
    <mergeCell ref="AM61:AN61"/>
    <mergeCell ref="AE62:AF62"/>
    <mergeCell ref="AK62:AL62"/>
    <mergeCell ref="AM62:AN62"/>
    <mergeCell ref="AE63:AF63"/>
    <mergeCell ref="AK63:AL63"/>
    <mergeCell ref="AM63:AN63"/>
    <mergeCell ref="AM58:AN58"/>
    <mergeCell ref="AM64:AN64"/>
    <mergeCell ref="AP64:AQ64"/>
    <mergeCell ref="AE65:AF65"/>
    <mergeCell ref="AK65:AL65"/>
    <mergeCell ref="AM65:AN65"/>
    <mergeCell ref="AE66:AF66"/>
    <mergeCell ref="AK66:AL66"/>
    <mergeCell ref="AM66:AN66"/>
    <mergeCell ref="AE74:AF74"/>
    <mergeCell ref="AK74:AL74"/>
    <mergeCell ref="AM74:AN74"/>
    <mergeCell ref="AE75:AF75"/>
    <mergeCell ref="AK75:AL75"/>
    <mergeCell ref="AM75:AN75"/>
    <mergeCell ref="AP58:AR58"/>
    <mergeCell ref="AE59:AF59"/>
    <mergeCell ref="AK59:AL59"/>
    <mergeCell ref="AM59:AN59"/>
    <mergeCell ref="AE60:AF60"/>
    <mergeCell ref="AK60:AL60"/>
    <mergeCell ref="AM60:AN60"/>
    <mergeCell ref="AM67:AN67"/>
    <mergeCell ref="AE68:AF68"/>
    <mergeCell ref="AK68:AL68"/>
    <mergeCell ref="AM68:AN68"/>
    <mergeCell ref="AE82:AF82"/>
    <mergeCell ref="AK82:AL82"/>
    <mergeCell ref="AM82:AN82"/>
    <mergeCell ref="AE78:AF78"/>
    <mergeCell ref="AK78:AL78"/>
    <mergeCell ref="AM78:AN78"/>
    <mergeCell ref="AE79:AF79"/>
    <mergeCell ref="AK79:AL79"/>
    <mergeCell ref="AM79:AN79"/>
    <mergeCell ref="AE80:AF80"/>
    <mergeCell ref="AK80:AL80"/>
    <mergeCell ref="AM80:AN80"/>
    <mergeCell ref="AE76:AF76"/>
    <mergeCell ref="AK76:AL76"/>
    <mergeCell ref="AM76:AN76"/>
    <mergeCell ref="AE77:AF77"/>
    <mergeCell ref="AK77:AL77"/>
    <mergeCell ref="AM77:AN77"/>
    <mergeCell ref="C102:E102"/>
    <mergeCell ref="J102:L102"/>
    <mergeCell ref="Q102:S102"/>
    <mergeCell ref="C103:E103"/>
    <mergeCell ref="J103:L103"/>
    <mergeCell ref="Q103:S103"/>
    <mergeCell ref="C104:E104"/>
    <mergeCell ref="J104:L104"/>
    <mergeCell ref="Q104:S104"/>
    <mergeCell ref="C99:E99"/>
    <mergeCell ref="J99:L99"/>
    <mergeCell ref="Q99:S99"/>
    <mergeCell ref="C100:E100"/>
    <mergeCell ref="J100:L100"/>
    <mergeCell ref="Q100:S100"/>
    <mergeCell ref="C101:E101"/>
    <mergeCell ref="J101:L101"/>
    <mergeCell ref="Q101:S101"/>
    <mergeCell ref="I120:J120"/>
    <mergeCell ref="O120:P120"/>
    <mergeCell ref="Q120:R120"/>
    <mergeCell ref="I121:J121"/>
    <mergeCell ref="O121:P121"/>
    <mergeCell ref="Q121:R121"/>
    <mergeCell ref="I115:J115"/>
    <mergeCell ref="O115:P115"/>
    <mergeCell ref="Q115:R115"/>
    <mergeCell ref="I116:J116"/>
    <mergeCell ref="O116:P116"/>
    <mergeCell ref="Q116:R116"/>
    <mergeCell ref="I117:J117"/>
    <mergeCell ref="O117:P117"/>
    <mergeCell ref="Q117:R117"/>
    <mergeCell ref="I113:J113"/>
    <mergeCell ref="O113:P113"/>
    <mergeCell ref="Q113:R113"/>
    <mergeCell ref="I114:J114"/>
    <mergeCell ref="O114:P114"/>
    <mergeCell ref="Q114:R114"/>
    <mergeCell ref="I124:J124"/>
    <mergeCell ref="O124:P124"/>
    <mergeCell ref="Q124:R124"/>
    <mergeCell ref="T124:V124"/>
    <mergeCell ref="I125:J125"/>
    <mergeCell ref="O125:P125"/>
    <mergeCell ref="Q125:R125"/>
    <mergeCell ref="I126:J126"/>
    <mergeCell ref="O126:P126"/>
    <mergeCell ref="Q126:R126"/>
    <mergeCell ref="I127:J127"/>
    <mergeCell ref="O127:P127"/>
    <mergeCell ref="Q127:R127"/>
    <mergeCell ref="I122:J122"/>
    <mergeCell ref="O122:P122"/>
    <mergeCell ref="Q122:R122"/>
    <mergeCell ref="I123:J123"/>
    <mergeCell ref="O123:P123"/>
    <mergeCell ref="Q123:R123"/>
    <mergeCell ref="I130:J130"/>
    <mergeCell ref="O130:P130"/>
    <mergeCell ref="Q130:R130"/>
    <mergeCell ref="I131:J131"/>
    <mergeCell ref="O131:P131"/>
    <mergeCell ref="Q131:R131"/>
    <mergeCell ref="I132:J132"/>
    <mergeCell ref="O132:P132"/>
    <mergeCell ref="Q132:R132"/>
    <mergeCell ref="I133:J133"/>
    <mergeCell ref="O133:P133"/>
    <mergeCell ref="Q133:R133"/>
    <mergeCell ref="I128:J128"/>
    <mergeCell ref="O128:P128"/>
    <mergeCell ref="Q128:R128"/>
    <mergeCell ref="I129:J129"/>
    <mergeCell ref="O129:P129"/>
    <mergeCell ref="Q129:R129"/>
    <mergeCell ref="I142:J142"/>
    <mergeCell ref="O142:P142"/>
    <mergeCell ref="Q142:R142"/>
    <mergeCell ref="I137:J137"/>
    <mergeCell ref="O137:P137"/>
    <mergeCell ref="Q137:R137"/>
    <mergeCell ref="I138:J138"/>
    <mergeCell ref="O138:P138"/>
    <mergeCell ref="Q138:R138"/>
    <mergeCell ref="I139:J139"/>
    <mergeCell ref="O139:P139"/>
    <mergeCell ref="Q139:R139"/>
    <mergeCell ref="I134:J134"/>
    <mergeCell ref="O134:P134"/>
    <mergeCell ref="Q134:R134"/>
    <mergeCell ref="I135:J135"/>
    <mergeCell ref="O135:P135"/>
    <mergeCell ref="Q135:R135"/>
    <mergeCell ref="I136:J136"/>
    <mergeCell ref="O136:P136"/>
    <mergeCell ref="Q136:R136"/>
    <mergeCell ref="I149:J149"/>
    <mergeCell ref="O149:P149"/>
    <mergeCell ref="Q149:R149"/>
    <mergeCell ref="I150:J150"/>
    <mergeCell ref="O150:P150"/>
    <mergeCell ref="C96:E96"/>
    <mergeCell ref="J96:L96"/>
    <mergeCell ref="Q96:S96"/>
    <mergeCell ref="C97:E97"/>
    <mergeCell ref="J97:L97"/>
    <mergeCell ref="Q97:S97"/>
    <mergeCell ref="C98:E98"/>
    <mergeCell ref="J98:L98"/>
    <mergeCell ref="Q98:S98"/>
    <mergeCell ref="C92:E92"/>
    <mergeCell ref="J92:L92"/>
    <mergeCell ref="Q92:S92"/>
    <mergeCell ref="C93:E93"/>
    <mergeCell ref="J93:L93"/>
    <mergeCell ref="Q93:S93"/>
    <mergeCell ref="C94:E94"/>
    <mergeCell ref="J94:L94"/>
    <mergeCell ref="Q94:S94"/>
    <mergeCell ref="C95:E95"/>
    <mergeCell ref="J95:L95"/>
    <mergeCell ref="Q95:S95"/>
    <mergeCell ref="I140:J140"/>
    <mergeCell ref="O140:P140"/>
    <mergeCell ref="Q140:R140"/>
    <mergeCell ref="I141:J141"/>
    <mergeCell ref="O141:P141"/>
    <mergeCell ref="Q141:R141"/>
    <mergeCell ref="Y93:AA93"/>
    <mergeCell ref="AF93:AH93"/>
    <mergeCell ref="AM93:AO93"/>
    <mergeCell ref="Y94:AA94"/>
    <mergeCell ref="AF94:AH94"/>
    <mergeCell ref="AM94:AO94"/>
    <mergeCell ref="Y95:AA95"/>
    <mergeCell ref="AF95:AH95"/>
    <mergeCell ref="AM95:AO95"/>
    <mergeCell ref="Y92:AA92"/>
    <mergeCell ref="AF92:AH92"/>
    <mergeCell ref="AM92:AO92"/>
    <mergeCell ref="Q150:R150"/>
    <mergeCell ref="I152:J152"/>
    <mergeCell ref="O152:P152"/>
    <mergeCell ref="Q152:R152"/>
    <mergeCell ref="I143:J143"/>
    <mergeCell ref="O143:P143"/>
    <mergeCell ref="Q143:R143"/>
    <mergeCell ref="I144:J144"/>
    <mergeCell ref="O144:P144"/>
    <mergeCell ref="Q144:R144"/>
    <mergeCell ref="I145:J145"/>
    <mergeCell ref="O145:P145"/>
    <mergeCell ref="Q145:R145"/>
    <mergeCell ref="I146:J146"/>
    <mergeCell ref="O146:P146"/>
    <mergeCell ref="Q146:R146"/>
    <mergeCell ref="I147:J147"/>
    <mergeCell ref="O147:P147"/>
    <mergeCell ref="Q147:R147"/>
    <mergeCell ref="I148:J148"/>
    <mergeCell ref="Y102:AA102"/>
    <mergeCell ref="AF102:AH102"/>
    <mergeCell ref="AM102:AO102"/>
    <mergeCell ref="Y103:AA103"/>
    <mergeCell ref="AF103:AH103"/>
    <mergeCell ref="AM103:AO103"/>
    <mergeCell ref="Y99:AA99"/>
    <mergeCell ref="AF99:AH99"/>
    <mergeCell ref="AM99:AO99"/>
    <mergeCell ref="Y100:AA100"/>
    <mergeCell ref="AF100:AH100"/>
    <mergeCell ref="AM100:AO100"/>
    <mergeCell ref="Y101:AA101"/>
    <mergeCell ref="AF101:AH101"/>
    <mergeCell ref="AM101:AO101"/>
    <mergeCell ref="Y96:AA96"/>
    <mergeCell ref="AF96:AH96"/>
    <mergeCell ref="AM96:AO96"/>
    <mergeCell ref="Y97:AA97"/>
    <mergeCell ref="AF97:AH97"/>
    <mergeCell ref="AM97:AO97"/>
    <mergeCell ref="Y98:AA98"/>
    <mergeCell ref="AF98:AH98"/>
    <mergeCell ref="AM98:AO98"/>
    <mergeCell ref="AE120:AF120"/>
    <mergeCell ref="AK120:AL120"/>
    <mergeCell ref="AM120:AN120"/>
    <mergeCell ref="AE121:AF121"/>
    <mergeCell ref="AK121:AL121"/>
    <mergeCell ref="AM121:AN121"/>
    <mergeCell ref="AE122:AF122"/>
    <mergeCell ref="AK122:AL122"/>
    <mergeCell ref="AM122:AN122"/>
    <mergeCell ref="AE116:AF116"/>
    <mergeCell ref="AK116:AL116"/>
    <mergeCell ref="AM116:AN116"/>
    <mergeCell ref="AE113:AF113"/>
    <mergeCell ref="AK113:AL113"/>
    <mergeCell ref="AM113:AN113"/>
    <mergeCell ref="AE114:AF114"/>
    <mergeCell ref="AK114:AL114"/>
    <mergeCell ref="AM114:AN114"/>
    <mergeCell ref="AE115:AF115"/>
    <mergeCell ref="AK115:AL115"/>
    <mergeCell ref="AM115:AN115"/>
    <mergeCell ref="AE126:AF126"/>
    <mergeCell ref="AK126:AL126"/>
    <mergeCell ref="AM126:AN126"/>
    <mergeCell ref="AE127:AF127"/>
    <mergeCell ref="AK127:AL127"/>
    <mergeCell ref="AM127:AN127"/>
    <mergeCell ref="AE128:AF128"/>
    <mergeCell ref="AK128:AL128"/>
    <mergeCell ref="AM128:AN128"/>
    <mergeCell ref="AE123:AF123"/>
    <mergeCell ref="AK123:AL123"/>
    <mergeCell ref="AM123:AN123"/>
    <mergeCell ref="AE124:AF124"/>
    <mergeCell ref="AK124:AL124"/>
    <mergeCell ref="AM124:AN124"/>
    <mergeCell ref="AE125:AF125"/>
    <mergeCell ref="AK125:AL125"/>
    <mergeCell ref="AM125:AN125"/>
    <mergeCell ref="AE132:AF132"/>
    <mergeCell ref="AK132:AL132"/>
    <mergeCell ref="AM132:AN132"/>
    <mergeCell ref="AE133:AF133"/>
    <mergeCell ref="AK133:AL133"/>
    <mergeCell ref="AM133:AN133"/>
    <mergeCell ref="AE134:AF134"/>
    <mergeCell ref="AK134:AL134"/>
    <mergeCell ref="AM134:AN134"/>
    <mergeCell ref="AE129:AF129"/>
    <mergeCell ref="AK129:AL129"/>
    <mergeCell ref="AM129:AN129"/>
    <mergeCell ref="AE130:AF130"/>
    <mergeCell ref="AK130:AL130"/>
    <mergeCell ref="AM130:AN130"/>
    <mergeCell ref="AE131:AF131"/>
    <mergeCell ref="AK131:AL131"/>
    <mergeCell ref="AM131:AN131"/>
    <mergeCell ref="AE138:AF138"/>
    <mergeCell ref="AK138:AL138"/>
    <mergeCell ref="AM138:AN138"/>
    <mergeCell ref="AE139:AF139"/>
    <mergeCell ref="AK139:AL139"/>
    <mergeCell ref="AM139:AN139"/>
    <mergeCell ref="AE140:AF140"/>
    <mergeCell ref="AK140:AL140"/>
    <mergeCell ref="AM140:AN140"/>
    <mergeCell ref="AE135:AF135"/>
    <mergeCell ref="AK135:AL135"/>
    <mergeCell ref="AM135:AN135"/>
    <mergeCell ref="AE136:AF136"/>
    <mergeCell ref="AK136:AL136"/>
    <mergeCell ref="AM136:AN136"/>
    <mergeCell ref="AE137:AF137"/>
    <mergeCell ref="AK137:AL137"/>
    <mergeCell ref="AM137:AN137"/>
    <mergeCell ref="AE149:AF149"/>
    <mergeCell ref="AK149:AL149"/>
    <mergeCell ref="AM149:AN149"/>
    <mergeCell ref="AE152:AF152"/>
    <mergeCell ref="AK152:AL152"/>
    <mergeCell ref="AM152:AN152"/>
    <mergeCell ref="AE141:AF141"/>
    <mergeCell ref="AK141:AL141"/>
    <mergeCell ref="AM141:AN141"/>
    <mergeCell ref="AE142:AF142"/>
    <mergeCell ref="AK142:AL142"/>
    <mergeCell ref="AM142:AN142"/>
    <mergeCell ref="AE143:AF143"/>
    <mergeCell ref="AK143:AL143"/>
    <mergeCell ref="AM143:AN143"/>
    <mergeCell ref="AE144:AF144"/>
    <mergeCell ref="AK144:AL144"/>
    <mergeCell ref="AM144:AN144"/>
    <mergeCell ref="AE145:AF145"/>
    <mergeCell ref="AK145:AL145"/>
    <mergeCell ref="AM145:AN145"/>
    <mergeCell ref="AE146:AF146"/>
    <mergeCell ref="AK146:AL146"/>
    <mergeCell ref="AM146:AN146"/>
    <mergeCell ref="AE147:AF147"/>
    <mergeCell ref="AK147:AL147"/>
    <mergeCell ref="AM147:AN147"/>
    <mergeCell ref="AE148:AF148"/>
    <mergeCell ref="AK148:AL148"/>
    <mergeCell ref="C234:E234"/>
    <mergeCell ref="J234:L234"/>
    <mergeCell ref="Q234:S234"/>
    <mergeCell ref="C235:E235"/>
    <mergeCell ref="J235:L235"/>
    <mergeCell ref="Q235:S235"/>
    <mergeCell ref="C227:E227"/>
    <mergeCell ref="J227:L227"/>
    <mergeCell ref="Q227:S227"/>
    <mergeCell ref="C228:E228"/>
    <mergeCell ref="J228:L228"/>
    <mergeCell ref="Q228:S228"/>
    <mergeCell ref="C229:E229"/>
    <mergeCell ref="J229:L229"/>
    <mergeCell ref="Q229:S229"/>
    <mergeCell ref="C230:E230"/>
    <mergeCell ref="J230:L230"/>
    <mergeCell ref="Q230:S230"/>
    <mergeCell ref="C231:E231"/>
    <mergeCell ref="J231:L231"/>
    <mergeCell ref="Q231:S231"/>
    <mergeCell ref="C232:E232"/>
    <mergeCell ref="J232:L232"/>
    <mergeCell ref="I246:J246"/>
    <mergeCell ref="I248:J248"/>
    <mergeCell ref="O248:P248"/>
    <mergeCell ref="Q248:R248"/>
    <mergeCell ref="C173:E173"/>
    <mergeCell ref="C236:E236"/>
    <mergeCell ref="J236:L236"/>
    <mergeCell ref="Q236:S236"/>
    <mergeCell ref="C237:E237"/>
    <mergeCell ref="J237:L237"/>
    <mergeCell ref="Q237:S237"/>
    <mergeCell ref="C238:E238"/>
    <mergeCell ref="J238:L238"/>
    <mergeCell ref="Q238:S238"/>
    <mergeCell ref="J173:L173"/>
    <mergeCell ref="Q173:S173"/>
    <mergeCell ref="C174:F174"/>
    <mergeCell ref="J174:M174"/>
    <mergeCell ref="C176:E176"/>
    <mergeCell ref="K178:N178"/>
    <mergeCell ref="O178:P179"/>
    <mergeCell ref="I179:J179"/>
    <mergeCell ref="I181:J181"/>
    <mergeCell ref="O181:P181"/>
    <mergeCell ref="I182:J182"/>
    <mergeCell ref="O182:P182"/>
    <mergeCell ref="I183:J183"/>
    <mergeCell ref="O183:P183"/>
    <mergeCell ref="Q232:S232"/>
    <mergeCell ref="C233:E233"/>
    <mergeCell ref="J233:L233"/>
    <mergeCell ref="Q233:S233"/>
    <mergeCell ref="I256:J256"/>
    <mergeCell ref="O256:P256"/>
    <mergeCell ref="Q256:R256"/>
    <mergeCell ref="I257:J257"/>
    <mergeCell ref="O257:P257"/>
    <mergeCell ref="Q257:R257"/>
    <mergeCell ref="I258:J258"/>
    <mergeCell ref="O258:P258"/>
    <mergeCell ref="Q258:R258"/>
    <mergeCell ref="I253:J253"/>
    <mergeCell ref="O253:P253"/>
    <mergeCell ref="Q253:R253"/>
    <mergeCell ref="I255:J255"/>
    <mergeCell ref="O255:P255"/>
    <mergeCell ref="Q255:R255"/>
    <mergeCell ref="I249:J249"/>
    <mergeCell ref="O249:P249"/>
    <mergeCell ref="Q249:R249"/>
    <mergeCell ref="I250:J250"/>
    <mergeCell ref="O250:P250"/>
    <mergeCell ref="Q250:R250"/>
    <mergeCell ref="I251:J251"/>
    <mergeCell ref="O251:P251"/>
    <mergeCell ref="Q251:R251"/>
    <mergeCell ref="I262:J262"/>
    <mergeCell ref="O262:P262"/>
    <mergeCell ref="Q262:R262"/>
    <mergeCell ref="I263:J263"/>
    <mergeCell ref="O263:P263"/>
    <mergeCell ref="Q263:R263"/>
    <mergeCell ref="I264:J264"/>
    <mergeCell ref="O264:P264"/>
    <mergeCell ref="Q264:R264"/>
    <mergeCell ref="I259:J259"/>
    <mergeCell ref="O259:P259"/>
    <mergeCell ref="Q259:R259"/>
    <mergeCell ref="I260:J260"/>
    <mergeCell ref="O260:P260"/>
    <mergeCell ref="Q260:R260"/>
    <mergeCell ref="I261:J261"/>
    <mergeCell ref="O261:P261"/>
    <mergeCell ref="Q261:R261"/>
    <mergeCell ref="I268:J268"/>
    <mergeCell ref="O268:P268"/>
    <mergeCell ref="Q268:R268"/>
    <mergeCell ref="I269:J269"/>
    <mergeCell ref="O269:P269"/>
    <mergeCell ref="Q269:R269"/>
    <mergeCell ref="I270:J270"/>
    <mergeCell ref="O270:P270"/>
    <mergeCell ref="Q270:R270"/>
    <mergeCell ref="I265:J265"/>
    <mergeCell ref="O265:P265"/>
    <mergeCell ref="Q265:R265"/>
    <mergeCell ref="I266:J266"/>
    <mergeCell ref="O266:P266"/>
    <mergeCell ref="Q266:R266"/>
    <mergeCell ref="I267:J267"/>
    <mergeCell ref="O267:P267"/>
    <mergeCell ref="Q267:R267"/>
    <mergeCell ref="I274:J274"/>
    <mergeCell ref="O274:P274"/>
    <mergeCell ref="Q274:R274"/>
    <mergeCell ref="I275:J275"/>
    <mergeCell ref="O275:P275"/>
    <mergeCell ref="Q275:R275"/>
    <mergeCell ref="I276:J276"/>
    <mergeCell ref="O276:P276"/>
    <mergeCell ref="Q276:R276"/>
    <mergeCell ref="I271:J271"/>
    <mergeCell ref="O271:P271"/>
    <mergeCell ref="Q271:R271"/>
    <mergeCell ref="I272:J272"/>
    <mergeCell ref="O272:P272"/>
    <mergeCell ref="Q272:R272"/>
    <mergeCell ref="I273:J273"/>
    <mergeCell ref="O273:P273"/>
    <mergeCell ref="Q273:R273"/>
    <mergeCell ref="Q284:R284"/>
    <mergeCell ref="I286:J286"/>
    <mergeCell ref="O286:P286"/>
    <mergeCell ref="Q286:R286"/>
    <mergeCell ref="I287:J287"/>
    <mergeCell ref="O287:P287"/>
    <mergeCell ref="Q287:R287"/>
    <mergeCell ref="I277:J277"/>
    <mergeCell ref="O277:P277"/>
    <mergeCell ref="Q277:R277"/>
    <mergeCell ref="I278:J278"/>
    <mergeCell ref="O278:P278"/>
    <mergeCell ref="Q278:R278"/>
    <mergeCell ref="I279:J279"/>
    <mergeCell ref="O279:P279"/>
    <mergeCell ref="Q279:R279"/>
    <mergeCell ref="I280:J280"/>
    <mergeCell ref="O280:P280"/>
    <mergeCell ref="Q280:R280"/>
    <mergeCell ref="I281:J281"/>
    <mergeCell ref="O281:P281"/>
    <mergeCell ref="Q281:R281"/>
    <mergeCell ref="I282:J282"/>
    <mergeCell ref="O282:P282"/>
    <mergeCell ref="Q282:R282"/>
    <mergeCell ref="I283:J283"/>
    <mergeCell ref="O283:P283"/>
    <mergeCell ref="Q283:R283"/>
    <mergeCell ref="I284:J284"/>
    <mergeCell ref="O284:P284"/>
    <mergeCell ref="C4:AQ8"/>
    <mergeCell ref="C10:AQ11"/>
    <mergeCell ref="C2:AR3"/>
    <mergeCell ref="Y227:AA227"/>
    <mergeCell ref="AF227:AH227"/>
    <mergeCell ref="AM227:AO227"/>
    <mergeCell ref="Y228:AA228"/>
    <mergeCell ref="AF228:AH228"/>
    <mergeCell ref="AM228:AO228"/>
    <mergeCell ref="Y229:AA229"/>
    <mergeCell ref="AF229:AH229"/>
    <mergeCell ref="AM229:AO229"/>
    <mergeCell ref="Y230:AA230"/>
    <mergeCell ref="AF230:AH230"/>
    <mergeCell ref="AM230:AO230"/>
    <mergeCell ref="Y231:AA231"/>
    <mergeCell ref="AF231:AH231"/>
    <mergeCell ref="D13:AP16"/>
    <mergeCell ref="D17:AP20"/>
    <mergeCell ref="C41:E41"/>
    <mergeCell ref="Y41:AA41"/>
    <mergeCell ref="Y104:AA104"/>
    <mergeCell ref="AF104:AH104"/>
    <mergeCell ref="AM104:AO104"/>
    <mergeCell ref="AE117:AF117"/>
    <mergeCell ref="AK117:AL117"/>
    <mergeCell ref="AM117:AN117"/>
    <mergeCell ref="AP124:AR124"/>
    <mergeCell ref="AE150:AF150"/>
    <mergeCell ref="AK150:AL150"/>
    <mergeCell ref="AM150:AN150"/>
    <mergeCell ref="AM148:AN148"/>
    <mergeCell ref="AQ247:AR249"/>
    <mergeCell ref="Y238:AA238"/>
    <mergeCell ref="AF238:AH238"/>
    <mergeCell ref="AM238:AO238"/>
    <mergeCell ref="Y235:AA235"/>
    <mergeCell ref="AF235:AH235"/>
    <mergeCell ref="AM235:AO235"/>
    <mergeCell ref="Y236:AA236"/>
    <mergeCell ref="AF236:AH236"/>
    <mergeCell ref="AM236:AO236"/>
    <mergeCell ref="Y237:AA237"/>
    <mergeCell ref="AF237:AH237"/>
    <mergeCell ref="AM237:AO237"/>
    <mergeCell ref="AF239:AH239"/>
    <mergeCell ref="AM239:AO239"/>
    <mergeCell ref="AF240:AH240"/>
    <mergeCell ref="AM240:AO240"/>
    <mergeCell ref="AF241:AI241"/>
    <mergeCell ref="AM241:AP241"/>
    <mergeCell ref="AE253:AF253"/>
    <mergeCell ref="AK253:AL253"/>
    <mergeCell ref="AM253:AN253"/>
    <mergeCell ref="AE255:AF255"/>
    <mergeCell ref="AK255:AL255"/>
    <mergeCell ref="AM255:AN255"/>
    <mergeCell ref="AE249:AF249"/>
    <mergeCell ref="AK249:AL249"/>
    <mergeCell ref="AM249:AN249"/>
    <mergeCell ref="AE250:AF250"/>
    <mergeCell ref="AK250:AL250"/>
    <mergeCell ref="AM250:AN250"/>
    <mergeCell ref="AE251:AF251"/>
    <mergeCell ref="AK251:AL251"/>
    <mergeCell ref="AM251:AN251"/>
    <mergeCell ref="AE246:AF246"/>
    <mergeCell ref="AE248:AF248"/>
    <mergeCell ref="AK248:AL248"/>
    <mergeCell ref="AM248:AN248"/>
    <mergeCell ref="AK245:AL246"/>
    <mergeCell ref="AM245:AN246"/>
    <mergeCell ref="AE259:AF259"/>
    <mergeCell ref="AK259:AL259"/>
    <mergeCell ref="AM259:AN259"/>
    <mergeCell ref="AE260:AF260"/>
    <mergeCell ref="AK260:AL260"/>
    <mergeCell ref="AM260:AN260"/>
    <mergeCell ref="AE261:AF261"/>
    <mergeCell ref="AK261:AL261"/>
    <mergeCell ref="AM261:AN261"/>
    <mergeCell ref="AE256:AF256"/>
    <mergeCell ref="AK256:AL256"/>
    <mergeCell ref="AM256:AN256"/>
    <mergeCell ref="AE257:AF257"/>
    <mergeCell ref="AK257:AL257"/>
    <mergeCell ref="AM257:AN257"/>
    <mergeCell ref="AE258:AF258"/>
    <mergeCell ref="AK258:AL258"/>
    <mergeCell ref="AM258:AN258"/>
    <mergeCell ref="AE265:AF265"/>
    <mergeCell ref="AK265:AL265"/>
    <mergeCell ref="AM265:AN265"/>
    <mergeCell ref="AE266:AF266"/>
    <mergeCell ref="AK266:AL266"/>
    <mergeCell ref="AM266:AN266"/>
    <mergeCell ref="AE267:AF267"/>
    <mergeCell ref="AK267:AL267"/>
    <mergeCell ref="AM267:AN267"/>
    <mergeCell ref="AE262:AF262"/>
    <mergeCell ref="AK262:AL262"/>
    <mergeCell ref="AM262:AN262"/>
    <mergeCell ref="AE263:AF263"/>
    <mergeCell ref="AK263:AL263"/>
    <mergeCell ref="AM263:AN263"/>
    <mergeCell ref="AE264:AF264"/>
    <mergeCell ref="AK264:AL264"/>
    <mergeCell ref="AM264:AN264"/>
    <mergeCell ref="AE271:AF271"/>
    <mergeCell ref="AK271:AL271"/>
    <mergeCell ref="AM271:AN271"/>
    <mergeCell ref="AE272:AF272"/>
    <mergeCell ref="AK272:AL272"/>
    <mergeCell ref="AM272:AN272"/>
    <mergeCell ref="AE273:AF273"/>
    <mergeCell ref="AK273:AL273"/>
    <mergeCell ref="AM273:AN273"/>
    <mergeCell ref="AE268:AF268"/>
    <mergeCell ref="AK268:AL268"/>
    <mergeCell ref="AM268:AN268"/>
    <mergeCell ref="AE269:AF269"/>
    <mergeCell ref="AK269:AL269"/>
    <mergeCell ref="AM269:AN269"/>
    <mergeCell ref="AE270:AF270"/>
    <mergeCell ref="AK270:AL270"/>
    <mergeCell ref="AM270:AN270"/>
    <mergeCell ref="AK279:AL279"/>
    <mergeCell ref="AM279:AN279"/>
    <mergeCell ref="AE280:AF280"/>
    <mergeCell ref="AK280:AL280"/>
    <mergeCell ref="AM280:AN280"/>
    <mergeCell ref="AE281:AF281"/>
    <mergeCell ref="AK281:AL281"/>
    <mergeCell ref="AM281:AN281"/>
    <mergeCell ref="AE282:AF282"/>
    <mergeCell ref="AK282:AL282"/>
    <mergeCell ref="AM282:AN282"/>
    <mergeCell ref="AE283:AF283"/>
    <mergeCell ref="AK283:AL283"/>
    <mergeCell ref="AM283:AN283"/>
    <mergeCell ref="AE284:AF284"/>
    <mergeCell ref="AK284:AL284"/>
    <mergeCell ref="AE274:AF274"/>
    <mergeCell ref="AK274:AL274"/>
    <mergeCell ref="AM274:AN274"/>
    <mergeCell ref="AE275:AF275"/>
    <mergeCell ref="AK275:AL275"/>
    <mergeCell ref="AM275:AN275"/>
    <mergeCell ref="AE276:AF276"/>
    <mergeCell ref="AK276:AL276"/>
    <mergeCell ref="AM276:AN276"/>
    <mergeCell ref="B24:B89"/>
    <mergeCell ref="T57:V57"/>
    <mergeCell ref="T78:W88"/>
    <mergeCell ref="I85:J85"/>
    <mergeCell ref="O85:P85"/>
    <mergeCell ref="Q85:R85"/>
    <mergeCell ref="I88:J88"/>
    <mergeCell ref="O88:P88"/>
    <mergeCell ref="Q88:R88"/>
    <mergeCell ref="C89:F89"/>
    <mergeCell ref="X24:X89"/>
    <mergeCell ref="AP57:AR57"/>
    <mergeCell ref="AP78:AS88"/>
    <mergeCell ref="AE85:AF85"/>
    <mergeCell ref="AK85:AL85"/>
    <mergeCell ref="AM85:AN85"/>
    <mergeCell ref="AE88:AF88"/>
    <mergeCell ref="AK88:AL88"/>
    <mergeCell ref="AM88:AN88"/>
    <mergeCell ref="Y89:AB89"/>
    <mergeCell ref="AE87:AF87"/>
    <mergeCell ref="AK87:AL87"/>
    <mergeCell ref="AM87:AN87"/>
    <mergeCell ref="AE83:AF83"/>
    <mergeCell ref="AK83:AL83"/>
    <mergeCell ref="AM83:AN83"/>
    <mergeCell ref="AE84:AF84"/>
    <mergeCell ref="AK84:AL84"/>
    <mergeCell ref="AM84:AN84"/>
    <mergeCell ref="AE81:AF81"/>
    <mergeCell ref="AK81:AL81"/>
    <mergeCell ref="AM81:AN81"/>
    <mergeCell ref="B91:B156"/>
    <mergeCell ref="C105:E105"/>
    <mergeCell ref="J105:L105"/>
    <mergeCell ref="Q105:S105"/>
    <mergeCell ref="C106:F106"/>
    <mergeCell ref="J106:M106"/>
    <mergeCell ref="Q106:T106"/>
    <mergeCell ref="C108:E108"/>
    <mergeCell ref="K110:N110"/>
    <mergeCell ref="O110:P111"/>
    <mergeCell ref="Q110:R111"/>
    <mergeCell ref="S110:S111"/>
    <mergeCell ref="I111:J111"/>
    <mergeCell ref="U112:V114"/>
    <mergeCell ref="I118:J118"/>
    <mergeCell ref="O118:P118"/>
    <mergeCell ref="Q118:R118"/>
    <mergeCell ref="T125:V125"/>
    <mergeCell ref="T131:U131"/>
    <mergeCell ref="T145:W155"/>
    <mergeCell ref="I151:J151"/>
    <mergeCell ref="O151:P151"/>
    <mergeCell ref="Q151:R151"/>
    <mergeCell ref="I154:J154"/>
    <mergeCell ref="O154:P154"/>
    <mergeCell ref="Q154:R154"/>
    <mergeCell ref="I155:J155"/>
    <mergeCell ref="O155:P155"/>
    <mergeCell ref="Q155:R155"/>
    <mergeCell ref="C156:F156"/>
    <mergeCell ref="O148:P148"/>
    <mergeCell ref="Q148:R148"/>
    <mergeCell ref="I252:J252"/>
    <mergeCell ref="O252:P252"/>
    <mergeCell ref="X91:X156"/>
    <mergeCell ref="Y105:AA105"/>
    <mergeCell ref="AF105:AH105"/>
    <mergeCell ref="AM105:AO105"/>
    <mergeCell ref="Y106:AB106"/>
    <mergeCell ref="AF106:AI106"/>
    <mergeCell ref="AM106:AP106"/>
    <mergeCell ref="Y108:AA108"/>
    <mergeCell ref="AG110:AJ110"/>
    <mergeCell ref="AK110:AL111"/>
    <mergeCell ref="AM110:AN111"/>
    <mergeCell ref="AO110:AO111"/>
    <mergeCell ref="AE111:AF111"/>
    <mergeCell ref="AQ112:AR114"/>
    <mergeCell ref="AE118:AF118"/>
    <mergeCell ref="AK118:AL118"/>
    <mergeCell ref="AM118:AN118"/>
    <mergeCell ref="AP125:AR125"/>
    <mergeCell ref="AP131:AQ131"/>
    <mergeCell ref="AP145:AS155"/>
    <mergeCell ref="AE151:AF151"/>
    <mergeCell ref="AK151:AL151"/>
    <mergeCell ref="AM151:AN151"/>
    <mergeCell ref="AE154:AF154"/>
    <mergeCell ref="AK154:AL154"/>
    <mergeCell ref="AM154:AN154"/>
    <mergeCell ref="AE155:AF155"/>
    <mergeCell ref="AK155:AL155"/>
    <mergeCell ref="AM155:AN155"/>
    <mergeCell ref="Y156:AB156"/>
    <mergeCell ref="I285:J285"/>
    <mergeCell ref="O285:P285"/>
    <mergeCell ref="Q285:R285"/>
    <mergeCell ref="I289:J289"/>
    <mergeCell ref="O289:P289"/>
    <mergeCell ref="Q289:R289"/>
    <mergeCell ref="I290:J290"/>
    <mergeCell ref="O290:P290"/>
    <mergeCell ref="Q290:R290"/>
    <mergeCell ref="C291:F291"/>
    <mergeCell ref="X226:X291"/>
    <mergeCell ref="Y239:AA239"/>
    <mergeCell ref="Y240:AA240"/>
    <mergeCell ref="Y241:AB241"/>
    <mergeCell ref="Y243:AA243"/>
    <mergeCell ref="T278:W289"/>
    <mergeCell ref="B226:B291"/>
    <mergeCell ref="C239:E239"/>
    <mergeCell ref="J239:L239"/>
    <mergeCell ref="Q239:S239"/>
    <mergeCell ref="C240:E240"/>
    <mergeCell ref="J240:L240"/>
    <mergeCell ref="Q240:S240"/>
    <mergeCell ref="C241:F241"/>
    <mergeCell ref="J241:M241"/>
    <mergeCell ref="Q241:T241"/>
    <mergeCell ref="C243:E243"/>
    <mergeCell ref="K245:N245"/>
    <mergeCell ref="O245:P246"/>
    <mergeCell ref="Q245:R246"/>
    <mergeCell ref="S245:S246"/>
    <mergeCell ref="U247:V249"/>
    <mergeCell ref="AP259:AR259"/>
    <mergeCell ref="AP260:AR260"/>
    <mergeCell ref="AP266:AQ266"/>
    <mergeCell ref="AE285:AF285"/>
    <mergeCell ref="AK285:AL285"/>
    <mergeCell ref="AM285:AN285"/>
    <mergeCell ref="AE289:AF289"/>
    <mergeCell ref="AK289:AL289"/>
    <mergeCell ref="AM289:AN289"/>
    <mergeCell ref="AE290:AF290"/>
    <mergeCell ref="AK290:AL290"/>
    <mergeCell ref="AM290:AN290"/>
    <mergeCell ref="Y291:AB291"/>
    <mergeCell ref="AP278:AS289"/>
    <mergeCell ref="Q252:R252"/>
    <mergeCell ref="T259:V259"/>
    <mergeCell ref="T260:V260"/>
    <mergeCell ref="T266:U266"/>
    <mergeCell ref="AM284:AN284"/>
    <mergeCell ref="AE286:AF286"/>
    <mergeCell ref="AK286:AL286"/>
    <mergeCell ref="AM286:AN286"/>
    <mergeCell ref="AE287:AF287"/>
    <mergeCell ref="AK287:AL287"/>
    <mergeCell ref="AM287:AN287"/>
    <mergeCell ref="AE277:AF277"/>
    <mergeCell ref="AK277:AL277"/>
    <mergeCell ref="AM277:AN277"/>
    <mergeCell ref="AE278:AF278"/>
    <mergeCell ref="AK278:AL278"/>
    <mergeCell ref="AM278:AN278"/>
    <mergeCell ref="AE279:AF279"/>
    <mergeCell ref="Q178:R179"/>
    <mergeCell ref="S178:S179"/>
    <mergeCell ref="U180:V182"/>
    <mergeCell ref="Q181:R181"/>
    <mergeCell ref="Q182:R182"/>
    <mergeCell ref="Q183:R183"/>
    <mergeCell ref="Y167:AA167"/>
    <mergeCell ref="AF167:AH167"/>
    <mergeCell ref="AM167:AO167"/>
    <mergeCell ref="Y168:AA168"/>
    <mergeCell ref="AF168:AH168"/>
    <mergeCell ref="AM168:AO168"/>
    <mergeCell ref="Y169:AA169"/>
    <mergeCell ref="AF169:AH169"/>
    <mergeCell ref="AE252:AF252"/>
    <mergeCell ref="AK252:AL252"/>
    <mergeCell ref="AM252:AN252"/>
    <mergeCell ref="AG245:AJ245"/>
    <mergeCell ref="AO245:AO246"/>
    <mergeCell ref="AM231:AO231"/>
    <mergeCell ref="Y232:AA232"/>
    <mergeCell ref="AF232:AH232"/>
    <mergeCell ref="AM232:AO232"/>
    <mergeCell ref="Y233:AA233"/>
    <mergeCell ref="AF233:AH233"/>
    <mergeCell ref="AM233:AO233"/>
    <mergeCell ref="Y234:AA234"/>
    <mergeCell ref="AF234:AH234"/>
    <mergeCell ref="AM234:AO234"/>
    <mergeCell ref="AY41:BF41"/>
    <mergeCell ref="BE42:BF42"/>
    <mergeCell ref="BC58:BD58"/>
    <mergeCell ref="BC59:BD59"/>
    <mergeCell ref="AY176:BF176"/>
    <mergeCell ref="BE177:BF177"/>
    <mergeCell ref="BC193:BD193"/>
    <mergeCell ref="BC194:BD194"/>
    <mergeCell ref="B159:B224"/>
    <mergeCell ref="C160:E160"/>
    <mergeCell ref="J160:L160"/>
    <mergeCell ref="Q160:S160"/>
    <mergeCell ref="C161:E161"/>
    <mergeCell ref="J161:L161"/>
    <mergeCell ref="Q161:S161"/>
    <mergeCell ref="C162:E162"/>
    <mergeCell ref="J162:L162"/>
    <mergeCell ref="Q162:S162"/>
    <mergeCell ref="C163:E163"/>
    <mergeCell ref="J163:L163"/>
    <mergeCell ref="Q163:S163"/>
    <mergeCell ref="C164:E164"/>
    <mergeCell ref="J164:L164"/>
    <mergeCell ref="Q164:S164"/>
    <mergeCell ref="C165:E165"/>
    <mergeCell ref="J165:L165"/>
    <mergeCell ref="Q165:S165"/>
    <mergeCell ref="C166:E166"/>
    <mergeCell ref="J166:L166"/>
    <mergeCell ref="T212:W223"/>
    <mergeCell ref="BD200:BE200"/>
    <mergeCell ref="Q174:T174"/>
    <mergeCell ref="Q166:S166"/>
    <mergeCell ref="C167:E167"/>
    <mergeCell ref="J167:L167"/>
    <mergeCell ref="Q167:S167"/>
    <mergeCell ref="C168:E168"/>
    <mergeCell ref="J168:L168"/>
    <mergeCell ref="Q168:S168"/>
    <mergeCell ref="C169:E169"/>
    <mergeCell ref="J169:L169"/>
    <mergeCell ref="Q169:S169"/>
    <mergeCell ref="C170:E170"/>
    <mergeCell ref="J170:L170"/>
    <mergeCell ref="Q170:S170"/>
    <mergeCell ref="C171:E171"/>
    <mergeCell ref="J171:L171"/>
    <mergeCell ref="Q171:S171"/>
    <mergeCell ref="C172:E172"/>
    <mergeCell ref="J172:L172"/>
    <mergeCell ref="Q172:S172"/>
    <mergeCell ref="I184:J184"/>
    <mergeCell ref="O184:P184"/>
    <mergeCell ref="Q184:R184"/>
    <mergeCell ref="I185:J185"/>
    <mergeCell ref="O185:P185"/>
    <mergeCell ref="Q185:R185"/>
    <mergeCell ref="I186:J186"/>
    <mergeCell ref="O186:P186"/>
    <mergeCell ref="Q186:R186"/>
    <mergeCell ref="I188:J188"/>
    <mergeCell ref="O188:P188"/>
    <mergeCell ref="Q188:R188"/>
    <mergeCell ref="I189:J189"/>
    <mergeCell ref="O189:P189"/>
    <mergeCell ref="Q189:R189"/>
    <mergeCell ref="I190:J190"/>
    <mergeCell ref="O190:P190"/>
    <mergeCell ref="Q190:R190"/>
    <mergeCell ref="I191:J191"/>
    <mergeCell ref="O191:P191"/>
    <mergeCell ref="Q191:R191"/>
    <mergeCell ref="I192:J192"/>
    <mergeCell ref="O192:P192"/>
    <mergeCell ref="Q192:R192"/>
    <mergeCell ref="T192:V192"/>
    <mergeCell ref="I193:J193"/>
    <mergeCell ref="O193:P193"/>
    <mergeCell ref="Q193:R193"/>
    <mergeCell ref="T193:V193"/>
    <mergeCell ref="I194:J194"/>
    <mergeCell ref="O194:P194"/>
    <mergeCell ref="Q194:R194"/>
    <mergeCell ref="I195:J195"/>
    <mergeCell ref="O195:P195"/>
    <mergeCell ref="Q195:R195"/>
    <mergeCell ref="I196:J196"/>
    <mergeCell ref="O196:P196"/>
    <mergeCell ref="Q196:R196"/>
    <mergeCell ref="I197:J197"/>
    <mergeCell ref="O197:P197"/>
    <mergeCell ref="Q197:R197"/>
    <mergeCell ref="I198:J198"/>
    <mergeCell ref="O198:P198"/>
    <mergeCell ref="Q198:R198"/>
    <mergeCell ref="I199:J199"/>
    <mergeCell ref="O199:P199"/>
    <mergeCell ref="Q199:R199"/>
    <mergeCell ref="T199:U199"/>
    <mergeCell ref="I200:J200"/>
    <mergeCell ref="O200:P200"/>
    <mergeCell ref="Q200:R200"/>
    <mergeCell ref="I201:J201"/>
    <mergeCell ref="O201:P201"/>
    <mergeCell ref="Q201:R201"/>
    <mergeCell ref="I202:J202"/>
    <mergeCell ref="O202:P202"/>
    <mergeCell ref="Q202:R202"/>
    <mergeCell ref="I203:J203"/>
    <mergeCell ref="O203:P203"/>
    <mergeCell ref="Q203:R203"/>
    <mergeCell ref="I204:J204"/>
    <mergeCell ref="O204:P204"/>
    <mergeCell ref="Q204:R204"/>
    <mergeCell ref="I205:J205"/>
    <mergeCell ref="O205:P205"/>
    <mergeCell ref="Q205:R205"/>
    <mergeCell ref="I206:J206"/>
    <mergeCell ref="O206:P206"/>
    <mergeCell ref="Q206:R206"/>
    <mergeCell ref="I207:J207"/>
    <mergeCell ref="O207:P207"/>
    <mergeCell ref="Q207:R207"/>
    <mergeCell ref="I208:J208"/>
    <mergeCell ref="O208:P208"/>
    <mergeCell ref="Q208:R208"/>
    <mergeCell ref="I209:J209"/>
    <mergeCell ref="O209:P209"/>
    <mergeCell ref="Q209:R209"/>
    <mergeCell ref="I210:J210"/>
    <mergeCell ref="O210:P210"/>
    <mergeCell ref="Q210:R210"/>
    <mergeCell ref="I211:J211"/>
    <mergeCell ref="O211:P211"/>
    <mergeCell ref="Q211:R211"/>
    <mergeCell ref="I212:J212"/>
    <mergeCell ref="O212:P212"/>
    <mergeCell ref="Q212:R212"/>
    <mergeCell ref="I213:J213"/>
    <mergeCell ref="O213:P213"/>
    <mergeCell ref="Q213:R213"/>
    <mergeCell ref="I214:J214"/>
    <mergeCell ref="O214:P214"/>
    <mergeCell ref="Q214:R214"/>
    <mergeCell ref="I215:J215"/>
    <mergeCell ref="O215:P215"/>
    <mergeCell ref="Q215:R215"/>
    <mergeCell ref="I216:J216"/>
    <mergeCell ref="O216:P216"/>
    <mergeCell ref="Q216:R216"/>
    <mergeCell ref="I217:J217"/>
    <mergeCell ref="O217:P217"/>
    <mergeCell ref="Q217:R217"/>
    <mergeCell ref="I218:J218"/>
    <mergeCell ref="O218:P218"/>
    <mergeCell ref="Q218:R218"/>
    <mergeCell ref="I219:J219"/>
    <mergeCell ref="O219:P219"/>
    <mergeCell ref="Q219:R219"/>
    <mergeCell ref="I220:J220"/>
    <mergeCell ref="O220:P220"/>
    <mergeCell ref="Q220:R220"/>
    <mergeCell ref="I222:J222"/>
    <mergeCell ref="O222:P222"/>
    <mergeCell ref="Q222:R222"/>
    <mergeCell ref="I223:J223"/>
    <mergeCell ref="O223:P223"/>
    <mergeCell ref="Q223:R223"/>
    <mergeCell ref="C224:F224"/>
    <mergeCell ref="X159:X224"/>
    <mergeCell ref="Y160:AA160"/>
    <mergeCell ref="AF160:AH160"/>
    <mergeCell ref="AM160:AO160"/>
    <mergeCell ref="Y161:AA161"/>
    <mergeCell ref="AF161:AH161"/>
    <mergeCell ref="AM161:AO161"/>
    <mergeCell ref="Y162:AA162"/>
    <mergeCell ref="AF162:AH162"/>
    <mergeCell ref="AM162:AO162"/>
    <mergeCell ref="Y163:AA163"/>
    <mergeCell ref="AF163:AH163"/>
    <mergeCell ref="AM163:AO163"/>
    <mergeCell ref="Y164:AA164"/>
    <mergeCell ref="AF164:AH164"/>
    <mergeCell ref="AM164:AO164"/>
    <mergeCell ref="Y165:AA165"/>
    <mergeCell ref="AF165:AH165"/>
    <mergeCell ref="AM165:AO165"/>
    <mergeCell ref="Y166:AA166"/>
    <mergeCell ref="AF166:AH166"/>
    <mergeCell ref="AM166:AO166"/>
    <mergeCell ref="AM169:AO169"/>
    <mergeCell ref="Y170:AA170"/>
    <mergeCell ref="AF170:AH170"/>
    <mergeCell ref="AM170:AO170"/>
    <mergeCell ref="Y171:AA171"/>
    <mergeCell ref="AF171:AH171"/>
    <mergeCell ref="AM171:AO171"/>
    <mergeCell ref="Y172:AA172"/>
    <mergeCell ref="AF172:AH172"/>
    <mergeCell ref="AM172:AO172"/>
    <mergeCell ref="Y173:AA173"/>
    <mergeCell ref="AF173:AH173"/>
    <mergeCell ref="AM173:AO173"/>
    <mergeCell ref="Y174:AB174"/>
    <mergeCell ref="AF174:AI174"/>
    <mergeCell ref="AM174:AP174"/>
    <mergeCell ref="Y176:AA176"/>
    <mergeCell ref="AG178:AJ178"/>
    <mergeCell ref="AK178:AL179"/>
    <mergeCell ref="AM178:AN179"/>
    <mergeCell ref="AO178:AO179"/>
    <mergeCell ref="AE179:AF179"/>
    <mergeCell ref="AQ180:AR182"/>
    <mergeCell ref="AE181:AF181"/>
    <mergeCell ref="AK181:AL181"/>
    <mergeCell ref="AM181:AN181"/>
    <mergeCell ref="AE182:AF182"/>
    <mergeCell ref="AK182:AL182"/>
    <mergeCell ref="AM182:AN182"/>
    <mergeCell ref="AE183:AF183"/>
    <mergeCell ref="AK183:AL183"/>
    <mergeCell ref="AM183:AN183"/>
    <mergeCell ref="AE184:AF184"/>
    <mergeCell ref="AK184:AL184"/>
    <mergeCell ref="AM184:AN184"/>
    <mergeCell ref="AE185:AF185"/>
    <mergeCell ref="AK185:AL185"/>
    <mergeCell ref="AM185:AN185"/>
    <mergeCell ref="AE186:AF186"/>
    <mergeCell ref="AK186:AL186"/>
    <mergeCell ref="AM186:AN186"/>
    <mergeCell ref="AE188:AF188"/>
    <mergeCell ref="AK188:AL188"/>
    <mergeCell ref="AM188:AN188"/>
    <mergeCell ref="AE189:AF189"/>
    <mergeCell ref="AK189:AL189"/>
    <mergeCell ref="AM189:AN189"/>
    <mergeCell ref="AE190:AF190"/>
    <mergeCell ref="AK190:AL190"/>
    <mergeCell ref="AM190:AN190"/>
    <mergeCell ref="AE191:AF191"/>
    <mergeCell ref="AK191:AL191"/>
    <mergeCell ref="AM191:AN191"/>
    <mergeCell ref="AE192:AF192"/>
    <mergeCell ref="AK192:AL192"/>
    <mergeCell ref="AM192:AN192"/>
    <mergeCell ref="AP192:AR192"/>
    <mergeCell ref="AE193:AF193"/>
    <mergeCell ref="AK193:AL193"/>
    <mergeCell ref="AM193:AN193"/>
    <mergeCell ref="AP193:AR193"/>
    <mergeCell ref="AE194:AF194"/>
    <mergeCell ref="AK194:AL194"/>
    <mergeCell ref="AM194:AN194"/>
    <mergeCell ref="AE195:AF195"/>
    <mergeCell ref="AK195:AL195"/>
    <mergeCell ref="AM195:AN195"/>
    <mergeCell ref="AE196:AF196"/>
    <mergeCell ref="AK196:AL196"/>
    <mergeCell ref="AM196:AN196"/>
    <mergeCell ref="AE197:AF197"/>
    <mergeCell ref="AK197:AL197"/>
    <mergeCell ref="AM197:AN197"/>
    <mergeCell ref="AE198:AF198"/>
    <mergeCell ref="AK198:AL198"/>
    <mergeCell ref="AM198:AN198"/>
    <mergeCell ref="AE199:AF199"/>
    <mergeCell ref="AK199:AL199"/>
    <mergeCell ref="AM199:AN199"/>
    <mergeCell ref="AP199:AQ199"/>
    <mergeCell ref="AE200:AF200"/>
    <mergeCell ref="AK200:AL200"/>
    <mergeCell ref="AM200:AN200"/>
    <mergeCell ref="AE201:AF201"/>
    <mergeCell ref="AK201:AL201"/>
    <mergeCell ref="AM201:AN201"/>
    <mergeCell ref="AE202:AF202"/>
    <mergeCell ref="AK202:AL202"/>
    <mergeCell ref="AM202:AN202"/>
    <mergeCell ref="AE203:AF203"/>
    <mergeCell ref="AK203:AL203"/>
    <mergeCell ref="AM203:AN203"/>
    <mergeCell ref="AE204:AF204"/>
    <mergeCell ref="AK204:AL204"/>
    <mergeCell ref="AM204:AN204"/>
    <mergeCell ref="AE205:AF205"/>
    <mergeCell ref="AK205:AL205"/>
    <mergeCell ref="AM205:AN205"/>
    <mergeCell ref="AE206:AF206"/>
    <mergeCell ref="AK206:AL206"/>
    <mergeCell ref="AM206:AN206"/>
    <mergeCell ref="AE207:AF207"/>
    <mergeCell ref="AK207:AL207"/>
    <mergeCell ref="AM207:AN207"/>
    <mergeCell ref="AE208:AF208"/>
    <mergeCell ref="AK208:AL208"/>
    <mergeCell ref="AM208:AN208"/>
    <mergeCell ref="AP212:AS223"/>
    <mergeCell ref="AE213:AF213"/>
    <mergeCell ref="AK213:AL213"/>
    <mergeCell ref="AM213:AN213"/>
    <mergeCell ref="AE214:AF214"/>
    <mergeCell ref="AK214:AL214"/>
    <mergeCell ref="AM214:AN214"/>
    <mergeCell ref="AE215:AF215"/>
    <mergeCell ref="AK215:AL215"/>
    <mergeCell ref="AM215:AN215"/>
    <mergeCell ref="AE216:AF216"/>
    <mergeCell ref="AK216:AL216"/>
    <mergeCell ref="AM216:AN216"/>
    <mergeCell ref="AE217:AF217"/>
    <mergeCell ref="AK217:AL217"/>
    <mergeCell ref="AM217:AN217"/>
    <mergeCell ref="AE218:AF218"/>
    <mergeCell ref="AK218:AL218"/>
    <mergeCell ref="AM218:AN218"/>
    <mergeCell ref="AE219:AF219"/>
    <mergeCell ref="AK219:AL219"/>
    <mergeCell ref="AM219:AN219"/>
    <mergeCell ref="AE220:AF220"/>
    <mergeCell ref="AK220:AL220"/>
    <mergeCell ref="AM220:AN220"/>
    <mergeCell ref="AE222:AF222"/>
    <mergeCell ref="AK222:AL222"/>
    <mergeCell ref="AM222:AN222"/>
    <mergeCell ref="AE223:AF223"/>
    <mergeCell ref="AK223:AL223"/>
    <mergeCell ref="AM223:AN223"/>
    <mergeCell ref="Y224:AB224"/>
    <mergeCell ref="AE209:AF209"/>
    <mergeCell ref="AK209:AL209"/>
    <mergeCell ref="AM209:AN209"/>
    <mergeCell ref="AE210:AF210"/>
    <mergeCell ref="AK210:AL210"/>
    <mergeCell ref="AM210:AN210"/>
    <mergeCell ref="AE211:AF211"/>
    <mergeCell ref="AK211:AL211"/>
    <mergeCell ref="AM211:AN211"/>
    <mergeCell ref="AE212:AF212"/>
    <mergeCell ref="AK212:AL212"/>
    <mergeCell ref="AM212:AN212"/>
  </mergeCells>
  <conditionalFormatting sqref="H85:K88 Q86 P25:P63 U26:U36 H25:K63 AG248:AJ290 AO248:AO290 P85:P88 T47 K46:N88 S46:S88 AP47 AG46:AJ88 AO46:AO88 T114 K113:N155 S113:S155 AP114 AG113:AJ155 AO113:AO155 AP249 T249 K248:N290 S248:S290 T182 K181:N223 S181:S223 AP182 AG181:AJ223 AO181:AO223">
    <cfRule type="cellIs" dxfId="38" priority="269" operator="equal">
      <formula>0</formula>
    </cfRule>
  </conditionalFormatting>
  <conditionalFormatting sqref="S82 U43 AQ43 U110 AQ110 AQ245 U245 U178 AQ178">
    <cfRule type="cellIs" dxfId="37" priority="268" operator="greaterThan">
      <formula>0</formula>
    </cfRule>
  </conditionalFormatting>
  <conditionalFormatting sqref="S81 U42 AQ42 U109 AQ109 AQ244 U244 U177 AQ177">
    <cfRule type="cellIs" dxfId="36" priority="267" operator="greaterThan">
      <formula>0</formula>
    </cfRule>
  </conditionalFormatting>
  <conditionalFormatting sqref="S25:S28 R77 E78 L78 S78 D77 K77 Q54:T63 S87:S88 T38 G39 N39 U37:U44 F38 M38 T77:T78 V48:V52 AP38 AC39 AJ39 AQ39 AB38 AI38 AP77:AP78 AR48:AR52 T105 G106 N106 U106 F105 M105 T144:T145 V115:V119 AP105 AC106 AJ106 AQ106 AB105 AI105 AP144:AP145 AR115:AR119 AP240 AC241 AJ241 AQ241 AB240 AI240 AR250:AR254 AP278:AP280 T240 G241 N241 U241 F240 M240 V250:V254 T278:T280 T173 G174 N174 U174 F173 M173 V183:V187 AP173 AC174 AJ174 AQ174 AB173 AI173 AR183:AR187">
    <cfRule type="cellIs" dxfId="35" priority="266" operator="equal">
      <formula>0</formula>
    </cfRule>
  </conditionalFormatting>
  <conditionalFormatting sqref="F69:F76 M69:M76 T69:T76 H26:H37 V26:V37 O26:O37 AD26:AD37 AR26:AR37 AK26:AK37 H93:H104 V93:V104 O93:O104 AD93:AD104 AR93:AR104 AK93:AK104 AD228:AD239 AR228:AR239 AK228:AK239 H228:H239 V228:V239 O228:O239 H161:H172 V161:V172 O161:O172 AD161:AD172 AR161:AR172 AK161:AK172">
    <cfRule type="cellIs" dxfId="34" priority="265" operator="equal">
      <formula>"??"</formula>
    </cfRule>
  </conditionalFormatting>
  <conditionalFormatting sqref="D77 K77 R77 F38 M38 T38 AB38 AI38 AP38 F105 M105 T105 AB105 AI105 AP105 AB240 AI240 AP240 F240 M240 T240 F173 M173 T173 AB173 AI173 AP173">
    <cfRule type="cellIs" dxfId="33" priority="264" operator="greaterThan">
      <formula>120</formula>
    </cfRule>
  </conditionalFormatting>
  <conditionalFormatting sqref="W69:W76 H69:H76 P69:Q74 I69:J74 O69:O76 A69:A76 C69:C74 AT69:AT76 C26:E37 K26:L36 R26:S36 Q26:Q37 J26:J37 Y26:AA37 AG26:AH36 AN26:AO36 AM26:AM37 AF26:AF37 C93:E104 K93:L103 R93:S103 Q93:Q104 J93:J104 Y93:AA104 AG93:AH103 AN93:AO103 AM93:AM104 AF93:AF104 Y228:AA239 AG228:AH238 AN228:AO238 AM228:AM239 AF228:AF239 C228:E239 K228:L238 R228:S238 Q228:Q239 J228:J239 C161:E172 K161:L171 R161:S171 Q161:Q172 J161:J172 Y161:AA172 AG161:AH171 AN161:AO171 AM161:AM172 AF161:AF172">
    <cfRule type="cellIs" dxfId="32" priority="263" operator="equal">
      <formula>"CHECK CREDIT"</formula>
    </cfRule>
  </conditionalFormatting>
  <conditionalFormatting sqref="BF47 AM248:AM290 N85:N88 N25:N43 N45:N63 Q46:Q88 AM46:AM88 Q113:Q155 AM113:AM155 Q248:Q290 BM43 BF182 Q181:Q223 AM181:AM223">
    <cfRule type="cellIs" dxfId="31" priority="262" operator="greaterThan">
      <formula>69.999</formula>
    </cfRule>
  </conditionalFormatting>
  <conditionalFormatting sqref="R25:S28 R86:S88 U48:V52 AQ48:AR52 U115:V119 AQ115:AR119 AQ250:AR254 U250:V254 U183:V187 AQ183:AR187">
    <cfRule type="cellIs" dxfId="30" priority="261" operator="equal">
      <formula>" "</formula>
    </cfRule>
  </conditionalFormatting>
  <conditionalFormatting sqref="U45:V47 C41:F41 AQ45:AR47 Y41:AB41 U112:V114 C108:F108 AQ112:AR114 Y108:AB108 AQ247:AR249 Y243:AB243 U247:V249 C243:F243 U180:V182 C176:F176 AQ180:AR182 Y176:AB176">
    <cfRule type="cellIs" dxfId="29" priority="258" operator="equal">
      <formula>" "</formula>
    </cfRule>
  </conditionalFormatting>
  <hyperlinks>
    <hyperlink ref="AR13" r:id="rId1" xr:uid="{00000000-0004-0000-0200-000000000000}"/>
  </hyperlinks>
  <pageMargins left="0.7" right="0.7" top="0.75" bottom="0.75" header="0.3" footer="0.3"/>
  <pageSetup paperSize="9" scale="70" orientation="portrait" verticalDpi="0" r:id="rId2"/>
  <colBreaks count="1" manualBreakCount="1">
    <brk id="23" min="22" max="153" man="1"/>
  </col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OA499"/>
  <sheetViews>
    <sheetView topLeftCell="S12" zoomScale="75" zoomScaleNormal="75" workbookViewId="0">
      <selection activeCell="U13" sqref="U13:AN14"/>
    </sheetView>
  </sheetViews>
  <sheetFormatPr defaultColWidth="8.85546875" defaultRowHeight="15" customHeight="1" x14ac:dyDescent="0.25"/>
  <cols>
    <col min="1" max="1" width="14.42578125" style="81" hidden="1" customWidth="1"/>
    <col min="2" max="17" width="6.7109375" style="81" hidden="1" customWidth="1"/>
    <col min="18" max="18" width="6.7109375" style="544" hidden="1" customWidth="1"/>
    <col min="19" max="20" width="1.7109375" style="60" customWidth="1"/>
    <col min="21" max="23" width="6.7109375" style="111" customWidth="1"/>
    <col min="24" max="26" width="6.7109375" style="60" customWidth="1"/>
    <col min="27" max="27" width="3.7109375" style="4" customWidth="1"/>
    <col min="28" max="28" width="6.7109375" style="60" customWidth="1"/>
    <col min="29" max="30" width="6.7109375" style="544" customWidth="1"/>
    <col min="31" max="31" width="6.7109375" style="111" customWidth="1"/>
    <col min="32" max="33" width="6.7109375" style="60" customWidth="1"/>
    <col min="34" max="34" width="3.7109375" style="60" customWidth="1"/>
    <col min="35" max="37" width="6.7109375" style="111" customWidth="1"/>
    <col min="38" max="40" width="6.7109375" style="60" customWidth="1"/>
    <col min="41" max="41" width="1.7109375" style="60" customWidth="1"/>
    <col min="42" max="42" width="10" style="78" hidden="1" customWidth="1"/>
    <col min="43" max="43" width="8.7109375" style="78" hidden="1" customWidth="1"/>
    <col min="44" max="44" width="3.7109375" style="78" hidden="1" customWidth="1"/>
    <col min="45" max="45" width="8.7109375" style="78" hidden="1" customWidth="1"/>
    <col min="46" max="46" width="9" style="78" hidden="1" customWidth="1"/>
    <col min="47" max="48" width="1.7109375" style="78" hidden="1" customWidth="1"/>
    <col min="49" max="49" width="1.7109375" style="78" customWidth="1"/>
    <col min="50" max="242" width="6.7109375" style="78" hidden="1" customWidth="1"/>
    <col min="243" max="243" width="6.28515625" style="78" hidden="1" customWidth="1"/>
    <col min="244" max="244" width="15.7109375" style="78" hidden="1" customWidth="1"/>
    <col min="245" max="246" width="6.7109375" style="78" hidden="1" customWidth="1"/>
    <col min="247" max="247" width="6.7109375" style="244" hidden="1" customWidth="1"/>
    <col min="248" max="297" width="6.7109375" style="78" hidden="1" customWidth="1"/>
    <col min="298" max="298" width="6.7109375" style="60" hidden="1" customWidth="1"/>
    <col min="299" max="307" width="6.7109375" style="81" hidden="1" customWidth="1"/>
    <col min="308" max="379" width="6.7109375" style="60" hidden="1" customWidth="1"/>
    <col min="380" max="388" width="6.7109375" style="60" customWidth="1"/>
    <col min="389" max="395" width="8.7109375" style="60" customWidth="1"/>
    <col min="396" max="16384" width="8.85546875" style="60"/>
  </cols>
  <sheetData>
    <row r="1" spans="1:307" ht="15" hidden="1" customHeight="1" x14ac:dyDescent="0.25">
      <c r="S1" s="653"/>
      <c r="T1" s="241"/>
      <c r="U1" s="242"/>
      <c r="V1" s="242"/>
      <c r="W1" s="242"/>
      <c r="X1" s="241"/>
      <c r="Y1" s="241"/>
      <c r="Z1" s="241"/>
      <c r="AA1" s="243"/>
      <c r="AB1" s="241"/>
      <c r="AC1" s="241"/>
      <c r="AD1" s="241"/>
      <c r="AE1" s="242"/>
      <c r="AF1" s="241"/>
      <c r="AG1" s="241"/>
      <c r="AH1" s="241"/>
      <c r="AI1" s="242"/>
      <c r="AJ1" s="242"/>
      <c r="AK1" s="242"/>
      <c r="AL1" s="241"/>
      <c r="AM1" s="241"/>
      <c r="AN1" s="241"/>
      <c r="AO1" s="241"/>
      <c r="AP1" s="241"/>
      <c r="AQ1" s="241"/>
      <c r="AR1" s="241"/>
      <c r="AS1" s="241"/>
      <c r="AT1" s="241"/>
      <c r="AU1" s="241"/>
      <c r="AV1" s="241"/>
      <c r="AW1" s="653"/>
      <c r="DY1" s="606">
        <v>20</v>
      </c>
      <c r="DZ1" s="606">
        <v>30</v>
      </c>
      <c r="EA1" s="606">
        <v>60</v>
      </c>
      <c r="EB1" s="631" t="s">
        <v>925</v>
      </c>
      <c r="EC1" s="78">
        <v>1</v>
      </c>
      <c r="ED1" s="606">
        <v>2</v>
      </c>
      <c r="EE1" s="81"/>
      <c r="EF1" s="328"/>
      <c r="EG1" s="81"/>
      <c r="EH1" s="81"/>
      <c r="EI1" s="645" t="s">
        <v>936</v>
      </c>
      <c r="EK1" s="81"/>
      <c r="EL1" s="648">
        <v>80</v>
      </c>
      <c r="EM1" s="81"/>
      <c r="IR1" s="245" t="s">
        <v>754</v>
      </c>
      <c r="IS1" s="246"/>
      <c r="IT1" s="246"/>
      <c r="IU1" s="246"/>
      <c r="IV1" s="246"/>
      <c r="IW1" s="246"/>
      <c r="IX1" s="247" t="s">
        <v>755</v>
      </c>
      <c r="IY1" s="248" t="s">
        <v>756</v>
      </c>
      <c r="IZ1" s="248" t="s">
        <v>757</v>
      </c>
      <c r="JA1" s="249" t="s">
        <v>758</v>
      </c>
      <c r="JB1" s="247" t="s">
        <v>759</v>
      </c>
      <c r="JC1" s="248" t="s">
        <v>760</v>
      </c>
      <c r="JD1" s="248" t="s">
        <v>761</v>
      </c>
      <c r="JE1" s="249" t="s">
        <v>762</v>
      </c>
      <c r="JF1" s="247" t="s">
        <v>763</v>
      </c>
      <c r="JG1" s="248" t="s">
        <v>764</v>
      </c>
      <c r="JH1" s="248" t="s">
        <v>765</v>
      </c>
      <c r="JI1" s="249" t="s">
        <v>766</v>
      </c>
      <c r="JJ1" s="247" t="s">
        <v>767</v>
      </c>
      <c r="JK1" s="248" t="s">
        <v>768</v>
      </c>
      <c r="JL1" s="248" t="s">
        <v>769</v>
      </c>
      <c r="JM1" s="249" t="s">
        <v>770</v>
      </c>
      <c r="JN1" s="247" t="s">
        <v>771</v>
      </c>
      <c r="JO1" s="248" t="s">
        <v>772</v>
      </c>
      <c r="JP1" s="248" t="s">
        <v>773</v>
      </c>
      <c r="JQ1" s="249" t="s">
        <v>774</v>
      </c>
      <c r="JR1" s="39" t="s">
        <v>775</v>
      </c>
    </row>
    <row r="2" spans="1:307" s="533" customFormat="1" ht="15" hidden="1" customHeight="1" x14ac:dyDescent="0.25">
      <c r="A2" s="81"/>
      <c r="B2" s="81"/>
      <c r="C2" s="81"/>
      <c r="D2" s="81"/>
      <c r="E2" s="81"/>
      <c r="F2" s="81"/>
      <c r="G2" s="81"/>
      <c r="H2" s="81"/>
      <c r="I2" s="81"/>
      <c r="J2" s="81"/>
      <c r="K2" s="81"/>
      <c r="L2" s="81"/>
      <c r="M2" s="81"/>
      <c r="N2" s="81"/>
      <c r="O2" s="81"/>
      <c r="P2" s="81"/>
      <c r="Q2" s="81"/>
      <c r="R2" s="544"/>
      <c r="S2" s="653"/>
      <c r="T2" s="241"/>
      <c r="U2" s="242"/>
      <c r="V2" s="242"/>
      <c r="W2" s="242"/>
      <c r="X2" s="241"/>
      <c r="Y2" s="241"/>
      <c r="Z2" s="241"/>
      <c r="AA2" s="243"/>
      <c r="AB2" s="241"/>
      <c r="AC2" s="241"/>
      <c r="AD2" s="241"/>
      <c r="AE2" s="242"/>
      <c r="AF2" s="241"/>
      <c r="AG2" s="241"/>
      <c r="AH2" s="241"/>
      <c r="AI2" s="242"/>
      <c r="AJ2" s="242"/>
      <c r="AK2" s="242"/>
      <c r="AL2" s="241"/>
      <c r="AM2" s="241"/>
      <c r="AN2" s="241"/>
      <c r="AO2" s="241"/>
      <c r="AP2" s="241"/>
      <c r="AQ2" s="241"/>
      <c r="AR2" s="241"/>
      <c r="AS2" s="241"/>
      <c r="AT2" s="241"/>
      <c r="AU2" s="241"/>
      <c r="AV2" s="241"/>
      <c r="AW2" s="653"/>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606" t="s">
        <v>14</v>
      </c>
      <c r="EB2" s="351">
        <f t="shared" ref="EB2:EB13" si="0">DS36</f>
        <v>0</v>
      </c>
      <c r="EC2" s="351" t="str">
        <f t="shared" ref="EC2:EC13" si="1">DT36</f>
        <v>X</v>
      </c>
      <c r="ED2" s="352" t="str">
        <f t="shared" ref="ED2:ED13" si="2">DU36</f>
        <v>X</v>
      </c>
      <c r="EE2" s="78">
        <v>1</v>
      </c>
      <c r="EF2" s="78" t="e">
        <f t="shared" ref="EF2:EF25" si="3">SMALL($EC$2:$EC$25,EE2)</f>
        <v>#NUM!</v>
      </c>
      <c r="EG2" s="540" t="e">
        <f t="shared" ref="EG2:EG25" si="4">VLOOKUP(EF2,$EC$2:$ED$25,2,0)</f>
        <v>#NUM!</v>
      </c>
      <c r="EH2" s="632" t="e">
        <f>EG2</f>
        <v>#NUM!</v>
      </c>
      <c r="EI2" s="646" t="e">
        <f>ROUNDDOWN(EF2,0)</f>
        <v>#NUM!</v>
      </c>
      <c r="EJ2" s="533">
        <f>COUNT(EF2)</f>
        <v>0</v>
      </c>
      <c r="EK2" s="540">
        <f>IF(EJ2=1,EG2*EI2,0)</f>
        <v>0</v>
      </c>
      <c r="EL2" s="533" t="e">
        <f t="shared" ref="EL2:EL19" si="5">IF(EH2&lt;=$EL$1,(EG2*EI2),0)</f>
        <v>#NUM!</v>
      </c>
      <c r="EM2" s="218">
        <f>IF(EJ2=1,EL2,0)</f>
        <v>0</v>
      </c>
      <c r="EN2" s="334"/>
      <c r="EO2" s="540" t="s">
        <v>904</v>
      </c>
      <c r="EP2" s="540" t="s">
        <v>903</v>
      </c>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244"/>
      <c r="IN2" s="78"/>
      <c r="IO2" s="78"/>
      <c r="IP2" s="78"/>
      <c r="IQ2" s="78"/>
      <c r="IR2" s="569"/>
      <c r="IS2" s="570"/>
      <c r="IT2" s="570"/>
      <c r="IU2" s="570"/>
      <c r="IV2" s="570"/>
      <c r="IW2" s="570"/>
      <c r="IX2" s="247"/>
      <c r="IY2" s="248"/>
      <c r="IZ2" s="248"/>
      <c r="JA2" s="249"/>
      <c r="JB2" s="535"/>
      <c r="JC2" s="534"/>
      <c r="JD2" s="534"/>
      <c r="JE2" s="536"/>
      <c r="JF2" s="535"/>
      <c r="JG2" s="534"/>
      <c r="JH2" s="534"/>
      <c r="JI2" s="536"/>
      <c r="JJ2" s="247"/>
      <c r="JK2" s="248"/>
      <c r="JL2" s="248"/>
      <c r="JM2" s="249"/>
      <c r="JN2" s="535"/>
      <c r="JO2" s="534"/>
      <c r="JP2" s="534"/>
      <c r="JQ2" s="536"/>
      <c r="JR2" s="252"/>
      <c r="JS2" s="78"/>
      <c r="JT2" s="78"/>
      <c r="JU2" s="78"/>
      <c r="JV2" s="78"/>
      <c r="JW2" s="78"/>
      <c r="JX2" s="78"/>
      <c r="JY2" s="78"/>
      <c r="JZ2" s="78"/>
      <c r="KA2" s="78"/>
      <c r="KB2" s="78"/>
      <c r="KC2" s="78"/>
      <c r="KD2" s="78"/>
      <c r="KE2" s="78"/>
      <c r="KF2" s="78"/>
      <c r="KG2" s="78"/>
      <c r="KH2" s="78"/>
      <c r="KI2" s="78"/>
      <c r="KJ2" s="78"/>
      <c r="KK2" s="78"/>
      <c r="KM2" s="81"/>
      <c r="KN2" s="81"/>
      <c r="KO2" s="81"/>
      <c r="KP2" s="81"/>
      <c r="KQ2" s="81"/>
      <c r="KR2" s="81"/>
      <c r="KS2" s="81"/>
      <c r="KT2" s="81"/>
      <c r="KU2" s="81"/>
    </row>
    <row r="3" spans="1:307" s="533" customFormat="1" ht="15" hidden="1" customHeight="1" x14ac:dyDescent="0.25">
      <c r="A3" s="81"/>
      <c r="B3" s="81"/>
      <c r="C3" s="81"/>
      <c r="D3" s="81"/>
      <c r="E3" s="81"/>
      <c r="F3" s="81"/>
      <c r="G3" s="81"/>
      <c r="H3" s="81"/>
      <c r="I3" s="81"/>
      <c r="J3" s="81"/>
      <c r="K3" s="81"/>
      <c r="L3" s="81"/>
      <c r="M3" s="81"/>
      <c r="N3" s="81"/>
      <c r="O3" s="81"/>
      <c r="P3" s="81"/>
      <c r="Q3" s="81"/>
      <c r="R3" s="544"/>
      <c r="S3" s="653"/>
      <c r="T3" s="241"/>
      <c r="U3" s="242"/>
      <c r="V3" s="242"/>
      <c r="W3" s="242"/>
      <c r="X3" s="241"/>
      <c r="Y3" s="241"/>
      <c r="Z3" s="241"/>
      <c r="AA3" s="243"/>
      <c r="AB3" s="241"/>
      <c r="AC3" s="241"/>
      <c r="AD3" s="241"/>
      <c r="AE3" s="242"/>
      <c r="AF3" s="241"/>
      <c r="AG3" s="241"/>
      <c r="AH3" s="241"/>
      <c r="AI3" s="242"/>
      <c r="AJ3" s="242"/>
      <c r="AK3" s="242"/>
      <c r="AL3" s="241"/>
      <c r="AM3" s="241"/>
      <c r="AN3" s="241"/>
      <c r="AO3" s="241"/>
      <c r="AP3" s="241"/>
      <c r="AQ3" s="241"/>
      <c r="AR3" s="241"/>
      <c r="AS3" s="241"/>
      <c r="AT3" s="241"/>
      <c r="AU3" s="241"/>
      <c r="AV3" s="241"/>
      <c r="AW3" s="653"/>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468" t="s">
        <v>898</v>
      </c>
      <c r="DV3" s="78"/>
      <c r="DW3" s="78"/>
      <c r="DX3" s="78"/>
      <c r="DY3" s="78"/>
      <c r="DZ3" s="78"/>
      <c r="EA3" s="78"/>
      <c r="EB3" s="351">
        <f t="shared" si="0"/>
        <v>0</v>
      </c>
      <c r="EC3" s="351" t="str">
        <f t="shared" si="1"/>
        <v>X</v>
      </c>
      <c r="ED3" s="352" t="str">
        <f t="shared" si="2"/>
        <v>X</v>
      </c>
      <c r="EE3" s="78">
        <f>EE2+1</f>
        <v>2</v>
      </c>
      <c r="EF3" s="78" t="e">
        <f t="shared" si="3"/>
        <v>#NUM!</v>
      </c>
      <c r="EG3" s="540" t="e">
        <f t="shared" si="4"/>
        <v>#NUM!</v>
      </c>
      <c r="EH3" s="632" t="e">
        <f>EH2+EG3</f>
        <v>#NUM!</v>
      </c>
      <c r="EI3" s="646" t="e">
        <f t="shared" ref="EI3:EI19" si="6">ROUNDDOWN(EF3,0)</f>
        <v>#NUM!</v>
      </c>
      <c r="EJ3" s="544">
        <f t="shared" ref="EJ3:EJ19" si="7">COUNT(EF3)</f>
        <v>0</v>
      </c>
      <c r="EK3" s="540">
        <f t="shared" ref="EK3:EK19" si="8">IF(EJ3=1,EG3*EI3,0)</f>
        <v>0</v>
      </c>
      <c r="EL3" s="544" t="e">
        <f t="shared" si="5"/>
        <v>#NUM!</v>
      </c>
      <c r="EM3" s="218">
        <f t="shared" ref="EM3:EM19" si="9">IF(EJ3=1,EL3,0)</f>
        <v>0</v>
      </c>
      <c r="EN3" s="540"/>
      <c r="EO3" s="540">
        <v>15</v>
      </c>
      <c r="EP3" s="540">
        <f t="shared" ref="EP3:EP13" si="10">180-EO3</f>
        <v>165</v>
      </c>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468" t="s">
        <v>905</v>
      </c>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244"/>
      <c r="IN3" s="78"/>
      <c r="IO3" s="78"/>
      <c r="IP3" s="78"/>
      <c r="IQ3" s="78"/>
      <c r="IR3" s="569"/>
      <c r="IS3" s="570"/>
      <c r="IT3" s="570"/>
      <c r="IU3" s="570"/>
      <c r="IV3" s="570"/>
      <c r="IW3" s="570"/>
      <c r="IX3" s="247"/>
      <c r="IY3" s="248"/>
      <c r="IZ3" s="248"/>
      <c r="JA3" s="249"/>
      <c r="JB3" s="535"/>
      <c r="JC3" s="534"/>
      <c r="JD3" s="534"/>
      <c r="JE3" s="536"/>
      <c r="JF3" s="535"/>
      <c r="JG3" s="534"/>
      <c r="JH3" s="534"/>
      <c r="JI3" s="536"/>
      <c r="JJ3" s="247"/>
      <c r="JK3" s="248"/>
      <c r="JL3" s="248"/>
      <c r="JM3" s="249"/>
      <c r="JN3" s="535"/>
      <c r="JO3" s="534"/>
      <c r="JP3" s="534"/>
      <c r="JQ3" s="536"/>
      <c r="JR3" s="252"/>
      <c r="JS3" s="78"/>
      <c r="JT3" s="78"/>
      <c r="JU3" s="78"/>
      <c r="JV3" s="78"/>
      <c r="JW3" s="78"/>
      <c r="JX3" s="78"/>
      <c r="JY3" s="78"/>
      <c r="JZ3" s="78"/>
      <c r="KA3" s="78"/>
      <c r="KB3" s="78"/>
      <c r="KC3" s="78"/>
      <c r="KD3" s="78"/>
      <c r="KE3" s="78"/>
      <c r="KF3" s="78"/>
      <c r="KG3" s="78"/>
      <c r="KH3" s="78"/>
      <c r="KI3" s="78"/>
      <c r="KJ3" s="78"/>
      <c r="KK3" s="78"/>
      <c r="KM3" s="81"/>
      <c r="KN3" s="81"/>
      <c r="KO3" s="81"/>
      <c r="KP3" s="81"/>
      <c r="KQ3" s="81"/>
      <c r="KR3" s="81"/>
      <c r="KS3" s="81"/>
      <c r="KT3" s="81"/>
      <c r="KU3" s="81"/>
    </row>
    <row r="4" spans="1:307" s="533" customFormat="1" ht="15" hidden="1" customHeight="1" x14ac:dyDescent="0.25">
      <c r="A4" s="81"/>
      <c r="B4" s="81"/>
      <c r="C4" s="81"/>
      <c r="D4" s="81"/>
      <c r="E4" s="81"/>
      <c r="F4" s="81"/>
      <c r="G4" s="81"/>
      <c r="H4" s="81"/>
      <c r="I4" s="81"/>
      <c r="J4" s="81"/>
      <c r="K4" s="81"/>
      <c r="L4" s="81"/>
      <c r="M4" s="81"/>
      <c r="N4" s="81"/>
      <c r="O4" s="81"/>
      <c r="P4" s="81"/>
      <c r="Q4" s="81"/>
      <c r="R4" s="544"/>
      <c r="S4" s="653"/>
      <c r="T4" s="241"/>
      <c r="U4" s="242"/>
      <c r="V4" s="242"/>
      <c r="W4" s="242"/>
      <c r="X4" s="241"/>
      <c r="Y4" s="241"/>
      <c r="Z4" s="241"/>
      <c r="AA4" s="243"/>
      <c r="AB4" s="241"/>
      <c r="AC4" s="241"/>
      <c r="AD4" s="241"/>
      <c r="AE4" s="242"/>
      <c r="AF4" s="241"/>
      <c r="AG4" s="241"/>
      <c r="AH4" s="241"/>
      <c r="AI4" s="242"/>
      <c r="AJ4" s="242"/>
      <c r="AK4" s="242"/>
      <c r="AL4" s="241"/>
      <c r="AM4" s="241"/>
      <c r="AN4" s="241"/>
      <c r="AO4" s="241"/>
      <c r="AP4" s="241"/>
      <c r="AQ4" s="241"/>
      <c r="AR4" s="241"/>
      <c r="AS4" s="241"/>
      <c r="AT4" s="241"/>
      <c r="AU4" s="241"/>
      <c r="AV4" s="241"/>
      <c r="AW4" s="653"/>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218">
        <v>120</v>
      </c>
      <c r="DV4" s="262" t="s">
        <v>5</v>
      </c>
      <c r="DW4" s="78"/>
      <c r="DX4" s="78"/>
      <c r="DY4" s="78"/>
      <c r="DZ4" s="78"/>
      <c r="EA4" s="78"/>
      <c r="EB4" s="351">
        <f t="shared" si="0"/>
        <v>0</v>
      </c>
      <c r="EC4" s="351" t="str">
        <f t="shared" si="1"/>
        <v>X</v>
      </c>
      <c r="ED4" s="352" t="str">
        <f t="shared" si="2"/>
        <v>X</v>
      </c>
      <c r="EE4" s="78">
        <f t="shared" ref="EE4:EE19" si="11">EE3+1</f>
        <v>3</v>
      </c>
      <c r="EF4" s="78" t="e">
        <f t="shared" si="3"/>
        <v>#NUM!</v>
      </c>
      <c r="EG4" s="540" t="e">
        <f t="shared" si="4"/>
        <v>#NUM!</v>
      </c>
      <c r="EH4" s="632" t="e">
        <f t="shared" ref="EH4:EH19" si="12">EH3+EG4</f>
        <v>#NUM!</v>
      </c>
      <c r="EI4" s="646" t="e">
        <f t="shared" si="6"/>
        <v>#NUM!</v>
      </c>
      <c r="EJ4" s="544">
        <f t="shared" si="7"/>
        <v>0</v>
      </c>
      <c r="EK4" s="540">
        <f t="shared" si="8"/>
        <v>0</v>
      </c>
      <c r="EL4" s="544" t="e">
        <f t="shared" si="5"/>
        <v>#NUM!</v>
      </c>
      <c r="EM4" s="218">
        <f t="shared" si="9"/>
        <v>0</v>
      </c>
      <c r="EN4" s="540"/>
      <c r="EO4" s="540">
        <f t="shared" ref="EO4:EO14" si="13">EO3+15</f>
        <v>30</v>
      </c>
      <c r="EP4" s="540">
        <f t="shared" si="10"/>
        <v>150</v>
      </c>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218">
        <v>120</v>
      </c>
      <c r="GO4" s="262" t="s">
        <v>5</v>
      </c>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244"/>
      <c r="IN4" s="78"/>
      <c r="IO4" s="78"/>
      <c r="IP4" s="78"/>
      <c r="IQ4" s="78"/>
      <c r="IR4" s="569"/>
      <c r="IS4" s="570"/>
      <c r="IT4" s="570"/>
      <c r="IU4" s="570"/>
      <c r="IV4" s="570"/>
      <c r="IW4" s="570"/>
      <c r="IX4" s="247"/>
      <c r="IY4" s="248"/>
      <c r="IZ4" s="248"/>
      <c r="JA4" s="249"/>
      <c r="JB4" s="535"/>
      <c r="JC4" s="534"/>
      <c r="JD4" s="534"/>
      <c r="JE4" s="536"/>
      <c r="JF4" s="535"/>
      <c r="JG4" s="534"/>
      <c r="JH4" s="534"/>
      <c r="JI4" s="536"/>
      <c r="JJ4" s="247"/>
      <c r="JK4" s="248"/>
      <c r="JL4" s="248"/>
      <c r="JM4" s="249"/>
      <c r="JN4" s="535"/>
      <c r="JO4" s="534"/>
      <c r="JP4" s="534"/>
      <c r="JQ4" s="536"/>
      <c r="JR4" s="252"/>
      <c r="JS4" s="78"/>
      <c r="JT4" s="78"/>
      <c r="JU4" s="78"/>
      <c r="JV4" s="78"/>
      <c r="JW4" s="78"/>
      <c r="JX4" s="78"/>
      <c r="JY4" s="78"/>
      <c r="JZ4" s="78"/>
      <c r="KA4" s="78"/>
      <c r="KB4" s="78"/>
      <c r="KC4" s="78"/>
      <c r="KD4" s="78"/>
      <c r="KE4" s="78"/>
      <c r="KF4" s="78"/>
      <c r="KG4" s="78"/>
      <c r="KH4" s="78"/>
      <c r="KI4" s="78"/>
      <c r="KJ4" s="78"/>
      <c r="KK4" s="78"/>
      <c r="KM4" s="81"/>
      <c r="KN4" s="81"/>
      <c r="KO4" s="81"/>
      <c r="KP4" s="81"/>
      <c r="KQ4" s="81"/>
      <c r="KR4" s="81"/>
      <c r="KS4" s="81"/>
      <c r="KT4" s="81"/>
      <c r="KU4" s="81"/>
    </row>
    <row r="5" spans="1:307" s="533" customFormat="1" ht="15" hidden="1" customHeight="1" x14ac:dyDescent="0.25">
      <c r="A5" s="81"/>
      <c r="B5" s="81"/>
      <c r="C5" s="81"/>
      <c r="D5" s="81"/>
      <c r="E5" s="81"/>
      <c r="F5" s="81"/>
      <c r="G5" s="81"/>
      <c r="H5" s="81"/>
      <c r="I5" s="81"/>
      <c r="J5" s="81"/>
      <c r="K5" s="81"/>
      <c r="L5" s="81"/>
      <c r="M5" s="81"/>
      <c r="N5" s="81"/>
      <c r="O5" s="81"/>
      <c r="P5" s="81"/>
      <c r="Q5" s="81"/>
      <c r="R5" s="544"/>
      <c r="S5" s="653"/>
      <c r="T5" s="241"/>
      <c r="U5" s="242"/>
      <c r="V5" s="242"/>
      <c r="W5" s="242"/>
      <c r="X5" s="241"/>
      <c r="Y5" s="241"/>
      <c r="Z5" s="241"/>
      <c r="AA5" s="243"/>
      <c r="AB5" s="241"/>
      <c r="AC5" s="241"/>
      <c r="AD5" s="241"/>
      <c r="AE5" s="242"/>
      <c r="AF5" s="241"/>
      <c r="AG5" s="241"/>
      <c r="AH5" s="241"/>
      <c r="AI5" s="242"/>
      <c r="AJ5" s="242"/>
      <c r="AK5" s="242"/>
      <c r="AL5" s="241"/>
      <c r="AM5" s="241"/>
      <c r="AN5" s="241"/>
      <c r="AO5" s="241"/>
      <c r="AP5" s="241"/>
      <c r="AQ5" s="241"/>
      <c r="AR5" s="241"/>
      <c r="AS5" s="241"/>
      <c r="AT5" s="241"/>
      <c r="AU5" s="241"/>
      <c r="AV5" s="241"/>
      <c r="AW5" s="653"/>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c r="DM5" s="78"/>
      <c r="DN5" s="78"/>
      <c r="DO5" s="78"/>
      <c r="DP5" s="78"/>
      <c r="DQ5" s="78"/>
      <c r="DR5" s="78"/>
      <c r="DS5" s="78"/>
      <c r="DT5" s="78"/>
      <c r="DU5" s="537">
        <f>DU4-5</f>
        <v>115</v>
      </c>
      <c r="DV5" s="537">
        <f t="shared" ref="DV5:DV18" si="14">$CD$13-DU5</f>
        <v>5</v>
      </c>
      <c r="DW5" s="78"/>
      <c r="DX5" s="78"/>
      <c r="DY5" s="78"/>
      <c r="DZ5" s="78"/>
      <c r="EA5" s="78"/>
      <c r="EB5" s="351">
        <f t="shared" si="0"/>
        <v>0</v>
      </c>
      <c r="EC5" s="351" t="str">
        <f t="shared" si="1"/>
        <v>X</v>
      </c>
      <c r="ED5" s="352" t="str">
        <f t="shared" si="2"/>
        <v>X</v>
      </c>
      <c r="EE5" s="78">
        <f t="shared" si="11"/>
        <v>4</v>
      </c>
      <c r="EF5" s="78" t="e">
        <f t="shared" si="3"/>
        <v>#NUM!</v>
      </c>
      <c r="EG5" s="540" t="e">
        <f t="shared" si="4"/>
        <v>#NUM!</v>
      </c>
      <c r="EH5" s="632" t="e">
        <f t="shared" si="12"/>
        <v>#NUM!</v>
      </c>
      <c r="EI5" s="646" t="e">
        <f t="shared" si="6"/>
        <v>#NUM!</v>
      </c>
      <c r="EJ5" s="544">
        <f t="shared" si="7"/>
        <v>0</v>
      </c>
      <c r="EK5" s="540">
        <f t="shared" si="8"/>
        <v>0</v>
      </c>
      <c r="EL5" s="544" t="e">
        <f t="shared" si="5"/>
        <v>#NUM!</v>
      </c>
      <c r="EM5" s="218">
        <f t="shared" si="9"/>
        <v>0</v>
      </c>
      <c r="EN5" s="540"/>
      <c r="EO5" s="540">
        <f t="shared" si="13"/>
        <v>45</v>
      </c>
      <c r="EP5" s="540">
        <f t="shared" si="10"/>
        <v>135</v>
      </c>
      <c r="EQ5" s="78"/>
      <c r="ER5" s="78"/>
      <c r="ES5" s="78"/>
      <c r="ET5" s="78"/>
      <c r="EU5" s="78"/>
      <c r="EV5" s="78"/>
      <c r="EW5" s="78"/>
      <c r="EX5" s="78"/>
      <c r="EY5" s="78"/>
      <c r="EZ5" s="78"/>
      <c r="FA5" s="78"/>
      <c r="FB5" s="78"/>
      <c r="FC5" s="78"/>
      <c r="FD5" s="78"/>
      <c r="FE5" s="78"/>
      <c r="FF5" s="78"/>
      <c r="FG5" s="78"/>
      <c r="FH5" s="78"/>
      <c r="FI5" s="78"/>
      <c r="FJ5" s="78"/>
      <c r="FK5" s="78"/>
      <c r="FL5" s="78"/>
      <c r="FM5" s="78"/>
      <c r="FN5" s="78"/>
      <c r="FO5" s="78"/>
      <c r="FP5" s="78"/>
      <c r="FQ5" s="78"/>
      <c r="FR5" s="78"/>
      <c r="FS5" s="78"/>
      <c r="FT5" s="78"/>
      <c r="FU5" s="78"/>
      <c r="FV5" s="78"/>
      <c r="FW5" s="78"/>
      <c r="FX5" s="78"/>
      <c r="FY5" s="78"/>
      <c r="FZ5" s="78"/>
      <c r="GA5" s="78"/>
      <c r="GB5" s="78"/>
      <c r="GC5" s="78"/>
      <c r="GD5" s="78"/>
      <c r="GE5" s="78"/>
      <c r="GF5" s="78"/>
      <c r="GG5" s="78"/>
      <c r="GH5" s="78"/>
      <c r="GI5" s="78"/>
      <c r="GJ5" s="78"/>
      <c r="GK5" s="78"/>
      <c r="GL5" s="78"/>
      <c r="GM5" s="78"/>
      <c r="GN5" s="537">
        <f>GN4-5</f>
        <v>115</v>
      </c>
      <c r="GO5" s="537">
        <f t="shared" ref="GO5:GO18" si="15">$CD$13-GN5</f>
        <v>5</v>
      </c>
      <c r="GP5" s="78"/>
      <c r="GQ5" s="78"/>
      <c r="GR5" s="78"/>
      <c r="GS5" s="78"/>
      <c r="GT5" s="78"/>
      <c r="GU5" s="78"/>
      <c r="GV5" s="78"/>
      <c r="GW5" s="78"/>
      <c r="GX5" s="78"/>
      <c r="GY5" s="78"/>
      <c r="GZ5" s="78"/>
      <c r="HA5" s="78"/>
      <c r="HB5" s="78"/>
      <c r="HC5" s="78"/>
      <c r="HD5" s="78"/>
      <c r="HE5" s="78"/>
      <c r="HF5" s="78"/>
      <c r="HG5" s="78"/>
      <c r="HH5" s="78"/>
      <c r="HI5" s="78"/>
      <c r="HJ5" s="78"/>
      <c r="HK5" s="78"/>
      <c r="HL5" s="78"/>
      <c r="HM5" s="78"/>
      <c r="HN5" s="78"/>
      <c r="HO5" s="78"/>
      <c r="HP5" s="78"/>
      <c r="HQ5" s="78"/>
      <c r="HR5" s="78"/>
      <c r="HS5" s="78"/>
      <c r="HT5" s="78"/>
      <c r="HU5" s="78"/>
      <c r="HV5" s="78"/>
      <c r="HW5" s="78"/>
      <c r="HX5" s="78"/>
      <c r="HY5" s="78"/>
      <c r="HZ5" s="78"/>
      <c r="IA5" s="78"/>
      <c r="IB5" s="78"/>
      <c r="IC5" s="78"/>
      <c r="ID5" s="78"/>
      <c r="IE5" s="78"/>
      <c r="IF5" s="78"/>
      <c r="IG5" s="78"/>
      <c r="IH5" s="78"/>
      <c r="II5" s="78"/>
      <c r="IJ5" s="78"/>
      <c r="IK5" s="78"/>
      <c r="IL5" s="78"/>
      <c r="IM5" s="244"/>
      <c r="IN5" s="78"/>
      <c r="IO5" s="78"/>
      <c r="IP5" s="78"/>
      <c r="IQ5" s="78"/>
      <c r="IR5" s="569"/>
      <c r="IS5" s="570"/>
      <c r="IT5" s="570"/>
      <c r="IU5" s="570"/>
      <c r="IV5" s="570"/>
      <c r="IW5" s="570"/>
      <c r="IX5" s="247"/>
      <c r="IY5" s="248"/>
      <c r="IZ5" s="248"/>
      <c r="JA5" s="249"/>
      <c r="JB5" s="535"/>
      <c r="JC5" s="534"/>
      <c r="JD5" s="534"/>
      <c r="JE5" s="536"/>
      <c r="JF5" s="535"/>
      <c r="JG5" s="534"/>
      <c r="JH5" s="534"/>
      <c r="JI5" s="536"/>
      <c r="JJ5" s="247"/>
      <c r="JK5" s="248"/>
      <c r="JL5" s="248"/>
      <c r="JM5" s="249"/>
      <c r="JN5" s="535"/>
      <c r="JO5" s="534"/>
      <c r="JP5" s="534"/>
      <c r="JQ5" s="536"/>
      <c r="JR5" s="252"/>
      <c r="JS5" s="78"/>
      <c r="JT5" s="78"/>
      <c r="JU5" s="78"/>
      <c r="JV5" s="78"/>
      <c r="JW5" s="78"/>
      <c r="JX5" s="78"/>
      <c r="JY5" s="78"/>
      <c r="JZ5" s="78"/>
      <c r="KA5" s="78"/>
      <c r="KB5" s="78"/>
      <c r="KC5" s="78"/>
      <c r="KD5" s="78"/>
      <c r="KE5" s="78"/>
      <c r="KF5" s="78"/>
      <c r="KG5" s="78"/>
      <c r="KH5" s="78"/>
      <c r="KI5" s="78"/>
      <c r="KJ5" s="78"/>
      <c r="KK5" s="78"/>
      <c r="KM5" s="81"/>
      <c r="KN5" s="81"/>
      <c r="KO5" s="81"/>
      <c r="KP5" s="81"/>
      <c r="KQ5" s="81"/>
      <c r="KR5" s="81"/>
      <c r="KS5" s="81"/>
      <c r="KT5" s="81"/>
      <c r="KU5" s="81"/>
    </row>
    <row r="6" spans="1:307" s="533" customFormat="1" ht="15" hidden="1" customHeight="1" x14ac:dyDescent="0.25">
      <c r="A6" s="81"/>
      <c r="B6" s="81"/>
      <c r="C6" s="81"/>
      <c r="D6" s="81"/>
      <c r="E6" s="81"/>
      <c r="F6" s="81"/>
      <c r="G6" s="81"/>
      <c r="H6" s="81"/>
      <c r="I6" s="81"/>
      <c r="J6" s="81"/>
      <c r="K6" s="81"/>
      <c r="L6" s="81"/>
      <c r="M6" s="81"/>
      <c r="N6" s="81"/>
      <c r="O6" s="81"/>
      <c r="P6" s="81"/>
      <c r="Q6" s="81"/>
      <c r="R6" s="544"/>
      <c r="S6" s="653"/>
      <c r="T6" s="241"/>
      <c r="U6" s="242"/>
      <c r="V6" s="242"/>
      <c r="W6" s="242"/>
      <c r="X6" s="241"/>
      <c r="Y6" s="241"/>
      <c r="Z6" s="241"/>
      <c r="AA6" s="243"/>
      <c r="AB6" s="241"/>
      <c r="AC6" s="241"/>
      <c r="AD6" s="241"/>
      <c r="AE6" s="242"/>
      <c r="AF6" s="241"/>
      <c r="AG6" s="241"/>
      <c r="AH6" s="241"/>
      <c r="AI6" s="242"/>
      <c r="AJ6" s="242"/>
      <c r="AK6" s="242"/>
      <c r="AL6" s="241"/>
      <c r="AM6" s="241"/>
      <c r="AN6" s="241"/>
      <c r="AO6" s="241"/>
      <c r="AP6" s="241"/>
      <c r="AQ6" s="241"/>
      <c r="AR6" s="241"/>
      <c r="AS6" s="241"/>
      <c r="AT6" s="241"/>
      <c r="AU6" s="241"/>
      <c r="AV6" s="241"/>
      <c r="AW6" s="653"/>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c r="DT6" s="78"/>
      <c r="DU6" s="537">
        <f t="shared" ref="DU6:DU17" si="16">DU5-5</f>
        <v>110</v>
      </c>
      <c r="DV6" s="537">
        <f t="shared" si="14"/>
        <v>10</v>
      </c>
      <c r="DW6" s="78"/>
      <c r="DX6" s="78"/>
      <c r="DY6" s="78"/>
      <c r="DZ6" s="78"/>
      <c r="EA6" s="78"/>
      <c r="EB6" s="351">
        <f t="shared" si="0"/>
        <v>0</v>
      </c>
      <c r="EC6" s="351" t="str">
        <f t="shared" si="1"/>
        <v>X</v>
      </c>
      <c r="ED6" s="352" t="str">
        <f t="shared" si="2"/>
        <v>X</v>
      </c>
      <c r="EE6" s="78">
        <f t="shared" si="11"/>
        <v>5</v>
      </c>
      <c r="EF6" s="78" t="e">
        <f t="shared" si="3"/>
        <v>#NUM!</v>
      </c>
      <c r="EG6" s="540" t="e">
        <f t="shared" si="4"/>
        <v>#NUM!</v>
      </c>
      <c r="EH6" s="632" t="e">
        <f t="shared" si="12"/>
        <v>#NUM!</v>
      </c>
      <c r="EI6" s="646" t="e">
        <f t="shared" si="6"/>
        <v>#NUM!</v>
      </c>
      <c r="EJ6" s="544">
        <f t="shared" si="7"/>
        <v>0</v>
      </c>
      <c r="EK6" s="540">
        <f t="shared" si="8"/>
        <v>0</v>
      </c>
      <c r="EL6" s="544" t="e">
        <f t="shared" si="5"/>
        <v>#NUM!</v>
      </c>
      <c r="EM6" s="218">
        <f t="shared" si="9"/>
        <v>0</v>
      </c>
      <c r="EN6" s="540"/>
      <c r="EO6" s="540">
        <f t="shared" si="13"/>
        <v>60</v>
      </c>
      <c r="EP6" s="540">
        <f t="shared" si="10"/>
        <v>120</v>
      </c>
      <c r="EQ6" s="78"/>
      <c r="ER6" s="78"/>
      <c r="ES6" s="78"/>
      <c r="ET6" s="78"/>
      <c r="EU6" s="78"/>
      <c r="EV6" s="78"/>
      <c r="EW6" s="78"/>
      <c r="EX6" s="78"/>
      <c r="EY6" s="78"/>
      <c r="EZ6" s="78"/>
      <c r="FA6" s="78"/>
      <c r="FB6" s="78"/>
      <c r="FC6" s="78"/>
      <c r="FD6" s="78"/>
      <c r="FE6" s="78"/>
      <c r="FF6" s="78"/>
      <c r="FG6" s="78"/>
      <c r="FH6" s="78"/>
      <c r="FI6" s="78"/>
      <c r="FJ6" s="78"/>
      <c r="FK6" s="78"/>
      <c r="FL6" s="78"/>
      <c r="FM6" s="78"/>
      <c r="FN6" s="78"/>
      <c r="FO6" s="78"/>
      <c r="FP6" s="78"/>
      <c r="FQ6" s="78"/>
      <c r="FR6" s="78"/>
      <c r="FS6" s="78"/>
      <c r="FT6" s="78"/>
      <c r="FU6" s="78"/>
      <c r="FV6" s="78"/>
      <c r="FW6" s="78"/>
      <c r="FX6" s="78"/>
      <c r="FY6" s="78"/>
      <c r="FZ6" s="78"/>
      <c r="GA6" s="78"/>
      <c r="GB6" s="78"/>
      <c r="GC6" s="78"/>
      <c r="GD6" s="78"/>
      <c r="GE6" s="78"/>
      <c r="GF6" s="78"/>
      <c r="GG6" s="78"/>
      <c r="GH6" s="78"/>
      <c r="GI6" s="78"/>
      <c r="GJ6" s="78"/>
      <c r="GK6" s="78"/>
      <c r="GL6" s="78"/>
      <c r="GM6" s="78"/>
      <c r="GN6" s="537">
        <f t="shared" ref="GN6:GN19" si="17">GN5-5</f>
        <v>110</v>
      </c>
      <c r="GO6" s="537">
        <f t="shared" si="15"/>
        <v>10</v>
      </c>
      <c r="GP6" s="78"/>
      <c r="GQ6" s="78"/>
      <c r="GR6" s="78"/>
      <c r="GS6" s="78"/>
      <c r="GT6" s="78"/>
      <c r="GU6" s="78"/>
      <c r="GV6" s="78"/>
      <c r="GW6" s="78"/>
      <c r="GX6" s="78"/>
      <c r="GY6" s="78"/>
      <c r="GZ6" s="78"/>
      <c r="HA6" s="78"/>
      <c r="HB6" s="78"/>
      <c r="HC6" s="78"/>
      <c r="HD6" s="78"/>
      <c r="HE6" s="78"/>
      <c r="HF6" s="78"/>
      <c r="HG6" s="78"/>
      <c r="HH6" s="78"/>
      <c r="HI6" s="78"/>
      <c r="HJ6" s="78"/>
      <c r="HK6" s="78"/>
      <c r="HL6" s="78"/>
      <c r="HM6" s="78"/>
      <c r="HN6" s="78"/>
      <c r="HO6" s="78"/>
      <c r="HP6" s="78"/>
      <c r="HQ6" s="78"/>
      <c r="HR6" s="78"/>
      <c r="HS6" s="78"/>
      <c r="HT6" s="78"/>
      <c r="HU6" s="78"/>
      <c r="HV6" s="78"/>
      <c r="HW6" s="78"/>
      <c r="HX6" s="78"/>
      <c r="HY6" s="78"/>
      <c r="HZ6" s="78"/>
      <c r="IA6" s="78"/>
      <c r="IB6" s="78"/>
      <c r="IC6" s="78"/>
      <c r="ID6" s="78"/>
      <c r="IE6" s="78"/>
      <c r="IF6" s="78"/>
      <c r="IG6" s="78"/>
      <c r="IH6" s="78"/>
      <c r="II6" s="78"/>
      <c r="IJ6" s="78"/>
      <c r="IK6" s="78"/>
      <c r="IL6" s="78"/>
      <c r="IM6" s="244"/>
      <c r="IN6" s="78"/>
      <c r="IO6" s="78"/>
      <c r="IP6" s="78"/>
      <c r="IQ6" s="78"/>
      <c r="IR6" s="569"/>
      <c r="IS6" s="570"/>
      <c r="IT6" s="570"/>
      <c r="IU6" s="570"/>
      <c r="IV6" s="570"/>
      <c r="IW6" s="570"/>
      <c r="IX6" s="247"/>
      <c r="IY6" s="248"/>
      <c r="IZ6" s="248"/>
      <c r="JA6" s="249"/>
      <c r="JB6" s="535"/>
      <c r="JC6" s="534"/>
      <c r="JD6" s="534"/>
      <c r="JE6" s="536"/>
      <c r="JF6" s="535"/>
      <c r="JG6" s="534"/>
      <c r="JH6" s="534"/>
      <c r="JI6" s="536"/>
      <c r="JJ6" s="247"/>
      <c r="JK6" s="248"/>
      <c r="JL6" s="248"/>
      <c r="JM6" s="249"/>
      <c r="JN6" s="535"/>
      <c r="JO6" s="534"/>
      <c r="JP6" s="534"/>
      <c r="JQ6" s="536"/>
      <c r="JR6" s="252"/>
      <c r="JS6" s="78"/>
      <c r="JT6" s="78"/>
      <c r="JU6" s="78"/>
      <c r="JV6" s="78"/>
      <c r="JW6" s="78"/>
      <c r="JX6" s="78"/>
      <c r="JY6" s="78"/>
      <c r="JZ6" s="78"/>
      <c r="KA6" s="78"/>
      <c r="KB6" s="78"/>
      <c r="KC6" s="78"/>
      <c r="KD6" s="78"/>
      <c r="KE6" s="78"/>
      <c r="KF6" s="78"/>
      <c r="KG6" s="78"/>
      <c r="KH6" s="78"/>
      <c r="KI6" s="78"/>
      <c r="KJ6" s="78"/>
      <c r="KK6" s="78"/>
      <c r="KM6" s="81"/>
      <c r="KN6" s="81"/>
      <c r="KO6" s="81"/>
      <c r="KP6" s="81"/>
      <c r="KQ6" s="81"/>
      <c r="KR6" s="81"/>
      <c r="KS6" s="81"/>
      <c r="KT6" s="81"/>
      <c r="KU6" s="81"/>
    </row>
    <row r="7" spans="1:307" s="533" customFormat="1" ht="15" hidden="1" customHeight="1" x14ac:dyDescent="0.25">
      <c r="A7" s="81"/>
      <c r="B7" s="81"/>
      <c r="C7" s="81"/>
      <c r="D7" s="81"/>
      <c r="E7" s="81"/>
      <c r="F7" s="81"/>
      <c r="G7" s="81"/>
      <c r="H7" s="81"/>
      <c r="I7" s="81"/>
      <c r="J7" s="81"/>
      <c r="K7" s="81"/>
      <c r="L7" s="81"/>
      <c r="M7" s="81"/>
      <c r="N7" s="81"/>
      <c r="O7" s="81"/>
      <c r="P7" s="81"/>
      <c r="Q7" s="81"/>
      <c r="R7" s="544"/>
      <c r="S7" s="653"/>
      <c r="T7" s="241"/>
      <c r="U7" s="242"/>
      <c r="V7" s="242"/>
      <c r="W7" s="242"/>
      <c r="X7" s="241"/>
      <c r="Y7" s="241"/>
      <c r="Z7" s="241"/>
      <c r="AA7" s="243"/>
      <c r="AB7" s="241"/>
      <c r="AC7" s="241"/>
      <c r="AD7" s="241"/>
      <c r="AE7" s="242"/>
      <c r="AF7" s="241"/>
      <c r="AG7" s="241"/>
      <c r="AH7" s="241"/>
      <c r="AI7" s="242"/>
      <c r="AJ7" s="242"/>
      <c r="AK7" s="242"/>
      <c r="AL7" s="241"/>
      <c r="AM7" s="241"/>
      <c r="AN7" s="241"/>
      <c r="AO7" s="241"/>
      <c r="AP7" s="241"/>
      <c r="AQ7" s="241"/>
      <c r="AR7" s="241"/>
      <c r="AS7" s="241"/>
      <c r="AT7" s="241"/>
      <c r="AU7" s="241"/>
      <c r="AV7" s="241"/>
      <c r="AW7" s="653"/>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583">
        <f t="shared" si="16"/>
        <v>105</v>
      </c>
      <c r="DV7" s="562">
        <f t="shared" si="14"/>
        <v>15</v>
      </c>
      <c r="DW7" s="78">
        <v>1</v>
      </c>
      <c r="DX7" s="78"/>
      <c r="DY7" s="78"/>
      <c r="DZ7" s="78"/>
      <c r="EA7" s="78"/>
      <c r="EB7" s="351">
        <f t="shared" si="0"/>
        <v>0</v>
      </c>
      <c r="EC7" s="351" t="str">
        <f t="shared" si="1"/>
        <v>X</v>
      </c>
      <c r="ED7" s="352" t="str">
        <f t="shared" si="2"/>
        <v>X</v>
      </c>
      <c r="EE7" s="78">
        <f t="shared" si="11"/>
        <v>6</v>
      </c>
      <c r="EF7" s="78" t="e">
        <f t="shared" si="3"/>
        <v>#NUM!</v>
      </c>
      <c r="EG7" s="540" t="e">
        <f t="shared" si="4"/>
        <v>#NUM!</v>
      </c>
      <c r="EH7" s="632" t="e">
        <f t="shared" si="12"/>
        <v>#NUM!</v>
      </c>
      <c r="EI7" s="646" t="e">
        <f t="shared" si="6"/>
        <v>#NUM!</v>
      </c>
      <c r="EJ7" s="544">
        <f t="shared" si="7"/>
        <v>0</v>
      </c>
      <c r="EK7" s="540">
        <f t="shared" si="8"/>
        <v>0</v>
      </c>
      <c r="EL7" s="544" t="e">
        <f t="shared" si="5"/>
        <v>#NUM!</v>
      </c>
      <c r="EM7" s="218">
        <f t="shared" si="9"/>
        <v>0</v>
      </c>
      <c r="EN7" s="540"/>
      <c r="EO7" s="540">
        <f t="shared" si="13"/>
        <v>75</v>
      </c>
      <c r="EP7" s="540">
        <f t="shared" si="10"/>
        <v>105</v>
      </c>
      <c r="EQ7" s="78"/>
      <c r="ER7" s="78"/>
      <c r="ES7" s="78"/>
      <c r="ET7" s="78"/>
      <c r="EU7" s="78"/>
      <c r="EV7" s="78"/>
      <c r="EW7" s="78"/>
      <c r="EX7" s="78"/>
      <c r="EY7" s="78"/>
      <c r="EZ7" s="78"/>
      <c r="FA7" s="78"/>
      <c r="FB7" s="78"/>
      <c r="FC7" s="78"/>
      <c r="FD7" s="78"/>
      <c r="FE7" s="78"/>
      <c r="FF7" s="78"/>
      <c r="FG7" s="78"/>
      <c r="FH7" s="78"/>
      <c r="FI7" s="78"/>
      <c r="FJ7" s="78"/>
      <c r="FK7" s="78"/>
      <c r="FL7" s="78"/>
      <c r="FM7" s="78"/>
      <c r="FN7" s="78"/>
      <c r="FO7" s="78"/>
      <c r="FP7" s="78"/>
      <c r="FQ7" s="78"/>
      <c r="FR7" s="78"/>
      <c r="FS7" s="78"/>
      <c r="FT7" s="78"/>
      <c r="FU7" s="78"/>
      <c r="FV7" s="78"/>
      <c r="FW7" s="78"/>
      <c r="FX7" s="78"/>
      <c r="FY7" s="78"/>
      <c r="FZ7" s="78"/>
      <c r="GA7" s="78"/>
      <c r="GB7" s="78"/>
      <c r="GC7" s="78"/>
      <c r="GD7" s="78"/>
      <c r="GE7" s="78"/>
      <c r="GF7" s="78"/>
      <c r="GG7" s="78"/>
      <c r="GH7" s="78"/>
      <c r="GI7" s="78"/>
      <c r="GJ7" s="78"/>
      <c r="GK7" s="78"/>
      <c r="GL7" s="78"/>
      <c r="GM7" s="78"/>
      <c r="GN7" s="571">
        <f t="shared" si="17"/>
        <v>105</v>
      </c>
      <c r="GO7" s="571">
        <f t="shared" si="15"/>
        <v>15</v>
      </c>
      <c r="GP7" s="78">
        <v>1</v>
      </c>
      <c r="GQ7" s="78"/>
      <c r="GR7" s="78"/>
      <c r="GS7" s="78"/>
      <c r="GT7" s="78"/>
      <c r="GU7" s="78"/>
      <c r="GV7" s="78"/>
      <c r="GW7" s="78"/>
      <c r="GX7" s="78"/>
      <c r="GY7" s="78"/>
      <c r="GZ7" s="78"/>
      <c r="HA7" s="78"/>
      <c r="HB7" s="78"/>
      <c r="HC7" s="78"/>
      <c r="HD7" s="78"/>
      <c r="HE7" s="78"/>
      <c r="HF7" s="78"/>
      <c r="HG7" s="78"/>
      <c r="HH7" s="78"/>
      <c r="HI7" s="78"/>
      <c r="HJ7" s="78"/>
      <c r="HK7" s="78"/>
      <c r="HL7" s="78"/>
      <c r="HM7" s="78"/>
      <c r="HN7" s="78"/>
      <c r="HO7" s="78"/>
      <c r="HP7" s="78"/>
      <c r="HQ7" s="78"/>
      <c r="HR7" s="78"/>
      <c r="HS7" s="78"/>
      <c r="HT7" s="78"/>
      <c r="HU7" s="78"/>
      <c r="HV7" s="78"/>
      <c r="HW7" s="78"/>
      <c r="HX7" s="78"/>
      <c r="HY7" s="78"/>
      <c r="HZ7" s="78"/>
      <c r="IA7" s="78"/>
      <c r="IB7" s="78"/>
      <c r="IC7" s="78"/>
      <c r="ID7" s="78"/>
      <c r="IE7" s="78"/>
      <c r="IF7" s="78"/>
      <c r="IG7" s="78"/>
      <c r="IH7" s="78"/>
      <c r="II7" s="78"/>
      <c r="IJ7" s="78"/>
      <c r="IK7" s="78"/>
      <c r="IL7" s="78"/>
      <c r="IM7" s="244"/>
      <c r="IN7" s="78"/>
      <c r="IO7" s="78"/>
      <c r="IP7" s="78"/>
      <c r="IQ7" s="78"/>
      <c r="IR7" s="569"/>
      <c r="IS7" s="570"/>
      <c r="IT7" s="570"/>
      <c r="IU7" s="570"/>
      <c r="IV7" s="570"/>
      <c r="IW7" s="570"/>
      <c r="IX7" s="247"/>
      <c r="IY7" s="248"/>
      <c r="IZ7" s="248"/>
      <c r="JA7" s="249"/>
      <c r="JB7" s="535"/>
      <c r="JC7" s="534"/>
      <c r="JD7" s="534"/>
      <c r="JE7" s="536"/>
      <c r="JF7" s="535"/>
      <c r="JG7" s="534"/>
      <c r="JH7" s="534"/>
      <c r="JI7" s="536"/>
      <c r="JJ7" s="247"/>
      <c r="JK7" s="248"/>
      <c r="JL7" s="248"/>
      <c r="JM7" s="249"/>
      <c r="JN7" s="535"/>
      <c r="JO7" s="534"/>
      <c r="JP7" s="534"/>
      <c r="JQ7" s="536"/>
      <c r="JR7" s="252"/>
      <c r="JS7" s="78"/>
      <c r="JT7" s="78"/>
      <c r="JU7" s="78"/>
      <c r="JV7" s="78"/>
      <c r="JW7" s="78"/>
      <c r="JX7" s="78"/>
      <c r="JY7" s="78"/>
      <c r="JZ7" s="78"/>
      <c r="KA7" s="78"/>
      <c r="KB7" s="78"/>
      <c r="KC7" s="78"/>
      <c r="KD7" s="78"/>
      <c r="KE7" s="78"/>
      <c r="KF7" s="78"/>
      <c r="KG7" s="78"/>
      <c r="KH7" s="78"/>
      <c r="KI7" s="78"/>
      <c r="KJ7" s="78"/>
      <c r="KK7" s="78"/>
      <c r="KM7" s="81"/>
      <c r="KN7" s="81"/>
      <c r="KO7" s="81"/>
      <c r="KP7" s="81"/>
      <c r="KQ7" s="81"/>
      <c r="KR7" s="81"/>
      <c r="KS7" s="81"/>
      <c r="KT7" s="81"/>
      <c r="KU7" s="81"/>
    </row>
    <row r="8" spans="1:307" s="533" customFormat="1" ht="15" hidden="1" customHeight="1" x14ac:dyDescent="0.25">
      <c r="A8" s="81"/>
      <c r="B8" s="81"/>
      <c r="C8" s="81"/>
      <c r="D8" s="81"/>
      <c r="E8" s="81"/>
      <c r="F8" s="81"/>
      <c r="G8" s="81"/>
      <c r="H8" s="81"/>
      <c r="I8" s="81"/>
      <c r="J8" s="81"/>
      <c r="K8" s="81"/>
      <c r="L8" s="81"/>
      <c r="M8" s="81"/>
      <c r="N8" s="81"/>
      <c r="O8" s="81"/>
      <c r="P8" s="81"/>
      <c r="Q8" s="81"/>
      <c r="R8" s="544"/>
      <c r="S8" s="653"/>
      <c r="T8" s="241"/>
      <c r="U8" s="242"/>
      <c r="V8" s="242"/>
      <c r="W8" s="242"/>
      <c r="X8" s="241"/>
      <c r="Y8" s="241"/>
      <c r="Z8" s="241"/>
      <c r="AA8" s="243"/>
      <c r="AB8" s="241"/>
      <c r="AC8" s="241"/>
      <c r="AD8" s="241"/>
      <c r="AE8" s="242"/>
      <c r="AF8" s="241"/>
      <c r="AG8" s="241"/>
      <c r="AH8" s="241"/>
      <c r="AI8" s="242"/>
      <c r="AJ8" s="242"/>
      <c r="AK8" s="242"/>
      <c r="AL8" s="241"/>
      <c r="AM8" s="241"/>
      <c r="AN8" s="241"/>
      <c r="AO8" s="241"/>
      <c r="AP8" s="241"/>
      <c r="AQ8" s="241"/>
      <c r="AR8" s="241"/>
      <c r="AS8" s="241"/>
      <c r="AT8" s="241"/>
      <c r="AU8" s="241"/>
      <c r="AV8" s="241"/>
      <c r="AW8" s="653"/>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583">
        <f t="shared" si="16"/>
        <v>100</v>
      </c>
      <c r="DV8" s="562">
        <f t="shared" si="14"/>
        <v>20</v>
      </c>
      <c r="DW8" s="78">
        <v>2</v>
      </c>
      <c r="DX8" s="78"/>
      <c r="DY8" s="78"/>
      <c r="DZ8" s="78"/>
      <c r="EA8" s="78"/>
      <c r="EB8" s="351">
        <f t="shared" si="0"/>
        <v>0</v>
      </c>
      <c r="EC8" s="351" t="str">
        <f t="shared" si="1"/>
        <v>X</v>
      </c>
      <c r="ED8" s="352" t="str">
        <f t="shared" si="2"/>
        <v>X</v>
      </c>
      <c r="EE8" s="78">
        <f t="shared" si="11"/>
        <v>7</v>
      </c>
      <c r="EF8" s="78" t="e">
        <f t="shared" si="3"/>
        <v>#NUM!</v>
      </c>
      <c r="EG8" s="540" t="e">
        <f t="shared" si="4"/>
        <v>#NUM!</v>
      </c>
      <c r="EH8" s="632" t="e">
        <f t="shared" si="12"/>
        <v>#NUM!</v>
      </c>
      <c r="EI8" s="646" t="e">
        <f t="shared" si="6"/>
        <v>#NUM!</v>
      </c>
      <c r="EJ8" s="544">
        <f t="shared" si="7"/>
        <v>0</v>
      </c>
      <c r="EK8" s="540">
        <f t="shared" si="8"/>
        <v>0</v>
      </c>
      <c r="EL8" s="544" t="e">
        <f t="shared" si="5"/>
        <v>#NUM!</v>
      </c>
      <c r="EM8" s="218">
        <f t="shared" si="9"/>
        <v>0</v>
      </c>
      <c r="EN8" s="540"/>
      <c r="EO8" s="540">
        <f t="shared" si="13"/>
        <v>90</v>
      </c>
      <c r="EP8" s="540">
        <f t="shared" si="10"/>
        <v>90</v>
      </c>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571">
        <f t="shared" si="17"/>
        <v>100</v>
      </c>
      <c r="GO8" s="571">
        <f t="shared" si="15"/>
        <v>20</v>
      </c>
      <c r="GP8" s="78">
        <v>2</v>
      </c>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244"/>
      <c r="IN8" s="78"/>
      <c r="IO8" s="78"/>
      <c r="IP8" s="78"/>
      <c r="IQ8" s="78"/>
      <c r="IR8" s="569"/>
      <c r="IS8" s="570"/>
      <c r="IT8" s="570"/>
      <c r="IU8" s="570"/>
      <c r="IV8" s="570"/>
      <c r="IW8" s="570"/>
      <c r="IX8" s="247"/>
      <c r="IY8" s="248"/>
      <c r="IZ8" s="248"/>
      <c r="JA8" s="249"/>
      <c r="JB8" s="535"/>
      <c r="JC8" s="534"/>
      <c r="JD8" s="534"/>
      <c r="JE8" s="536"/>
      <c r="JF8" s="535"/>
      <c r="JG8" s="534"/>
      <c r="JH8" s="534"/>
      <c r="JI8" s="536"/>
      <c r="JJ8" s="247"/>
      <c r="JK8" s="248"/>
      <c r="JL8" s="248"/>
      <c r="JM8" s="249"/>
      <c r="JN8" s="535"/>
      <c r="JO8" s="534"/>
      <c r="JP8" s="534"/>
      <c r="JQ8" s="536"/>
      <c r="JR8" s="252"/>
      <c r="JS8" s="78"/>
      <c r="JT8" s="78"/>
      <c r="JU8" s="78"/>
      <c r="JV8" s="78"/>
      <c r="JW8" s="78"/>
      <c r="JX8" s="78"/>
      <c r="JY8" s="78"/>
      <c r="JZ8" s="78"/>
      <c r="KA8" s="78"/>
      <c r="KB8" s="78"/>
      <c r="KC8" s="78"/>
      <c r="KD8" s="78"/>
      <c r="KE8" s="78"/>
      <c r="KF8" s="78"/>
      <c r="KG8" s="78"/>
      <c r="KH8" s="78"/>
      <c r="KI8" s="78"/>
      <c r="KJ8" s="78"/>
      <c r="KK8" s="78"/>
      <c r="KM8" s="81"/>
      <c r="KN8" s="81"/>
      <c r="KO8" s="81"/>
      <c r="KP8" s="81"/>
      <c r="KQ8" s="81"/>
      <c r="KR8" s="81"/>
      <c r="KS8" s="81"/>
      <c r="KT8" s="81"/>
      <c r="KU8" s="81"/>
    </row>
    <row r="9" spans="1:307" s="533" customFormat="1" ht="15" hidden="1" customHeight="1" x14ac:dyDescent="0.25">
      <c r="A9" s="81"/>
      <c r="B9" s="81"/>
      <c r="C9" s="81"/>
      <c r="D9" s="81"/>
      <c r="E9" s="81"/>
      <c r="F9" s="81"/>
      <c r="G9" s="81"/>
      <c r="H9" s="81"/>
      <c r="I9" s="81"/>
      <c r="J9" s="81"/>
      <c r="K9" s="81"/>
      <c r="L9" s="81"/>
      <c r="M9" s="81"/>
      <c r="N9" s="81"/>
      <c r="O9" s="81"/>
      <c r="P9" s="81"/>
      <c r="Q9" s="81"/>
      <c r="R9" s="544"/>
      <c r="S9" s="653"/>
      <c r="T9" s="241"/>
      <c r="U9" s="242"/>
      <c r="V9" s="242"/>
      <c r="W9" s="242"/>
      <c r="X9" s="241"/>
      <c r="Y9" s="241"/>
      <c r="Z9" s="241"/>
      <c r="AA9" s="243"/>
      <c r="AB9" s="241"/>
      <c r="AC9" s="241"/>
      <c r="AD9" s="241"/>
      <c r="AE9" s="242"/>
      <c r="AF9" s="241"/>
      <c r="AG9" s="241"/>
      <c r="AH9" s="241"/>
      <c r="AI9" s="242"/>
      <c r="AJ9" s="242"/>
      <c r="AK9" s="242"/>
      <c r="AL9" s="241"/>
      <c r="AM9" s="241"/>
      <c r="AN9" s="241"/>
      <c r="AO9" s="241"/>
      <c r="AP9" s="241"/>
      <c r="AQ9" s="241"/>
      <c r="AR9" s="241"/>
      <c r="AS9" s="241"/>
      <c r="AT9" s="241"/>
      <c r="AU9" s="241"/>
      <c r="AV9" s="241"/>
      <c r="AW9" s="653"/>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537">
        <f t="shared" si="16"/>
        <v>95</v>
      </c>
      <c r="DV9" s="537">
        <f t="shared" si="14"/>
        <v>25</v>
      </c>
      <c r="DW9" s="78"/>
      <c r="DX9" s="78"/>
      <c r="DY9" s="78"/>
      <c r="DZ9" s="78"/>
      <c r="EA9" s="78"/>
      <c r="EB9" s="351">
        <f t="shared" si="0"/>
        <v>0</v>
      </c>
      <c r="EC9" s="351" t="str">
        <f t="shared" si="1"/>
        <v>X</v>
      </c>
      <c r="ED9" s="352" t="str">
        <f t="shared" si="2"/>
        <v>X</v>
      </c>
      <c r="EE9" s="78">
        <f t="shared" si="11"/>
        <v>8</v>
      </c>
      <c r="EF9" s="78" t="e">
        <f t="shared" si="3"/>
        <v>#NUM!</v>
      </c>
      <c r="EG9" s="540" t="e">
        <f t="shared" si="4"/>
        <v>#NUM!</v>
      </c>
      <c r="EH9" s="632" t="e">
        <f t="shared" si="12"/>
        <v>#NUM!</v>
      </c>
      <c r="EI9" s="646" t="e">
        <f t="shared" si="6"/>
        <v>#NUM!</v>
      </c>
      <c r="EJ9" s="544">
        <f t="shared" si="7"/>
        <v>0</v>
      </c>
      <c r="EK9" s="540">
        <f t="shared" si="8"/>
        <v>0</v>
      </c>
      <c r="EL9" s="544" t="e">
        <f t="shared" si="5"/>
        <v>#NUM!</v>
      </c>
      <c r="EM9" s="218">
        <f t="shared" si="9"/>
        <v>0</v>
      </c>
      <c r="EN9" s="540"/>
      <c r="EO9" s="540">
        <f t="shared" si="13"/>
        <v>105</v>
      </c>
      <c r="EP9" s="540">
        <f t="shared" si="10"/>
        <v>75</v>
      </c>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537">
        <f t="shared" si="17"/>
        <v>95</v>
      </c>
      <c r="GO9" s="537">
        <f t="shared" si="15"/>
        <v>25</v>
      </c>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244"/>
      <c r="IN9" s="78"/>
      <c r="IO9" s="78"/>
      <c r="IP9" s="78"/>
      <c r="IQ9" s="78"/>
      <c r="IR9" s="569"/>
      <c r="IS9" s="570"/>
      <c r="IT9" s="570"/>
      <c r="IU9" s="570"/>
      <c r="IV9" s="570"/>
      <c r="IW9" s="570"/>
      <c r="IX9" s="247"/>
      <c r="IY9" s="248"/>
      <c r="IZ9" s="248"/>
      <c r="JA9" s="249"/>
      <c r="JB9" s="535"/>
      <c r="JC9" s="534"/>
      <c r="JD9" s="534"/>
      <c r="JE9" s="536"/>
      <c r="JF9" s="535"/>
      <c r="JG9" s="534"/>
      <c r="JH9" s="534"/>
      <c r="JI9" s="536"/>
      <c r="JJ9" s="247"/>
      <c r="JK9" s="248"/>
      <c r="JL9" s="248"/>
      <c r="JM9" s="249"/>
      <c r="JN9" s="535"/>
      <c r="JO9" s="534"/>
      <c r="JP9" s="534"/>
      <c r="JQ9" s="536"/>
      <c r="JR9" s="252"/>
      <c r="JS9" s="78"/>
      <c r="JT9" s="78"/>
      <c r="JU9" s="78"/>
      <c r="JV9" s="78"/>
      <c r="JW9" s="78"/>
      <c r="JX9" s="78"/>
      <c r="JY9" s="78"/>
      <c r="JZ9" s="78"/>
      <c r="KA9" s="78"/>
      <c r="KB9" s="78"/>
      <c r="KC9" s="78"/>
      <c r="KD9" s="78"/>
      <c r="KE9" s="78"/>
      <c r="KF9" s="78"/>
      <c r="KG9" s="78"/>
      <c r="KH9" s="78"/>
      <c r="KI9" s="78"/>
      <c r="KJ9" s="78"/>
      <c r="KK9" s="78"/>
      <c r="KM9" s="81"/>
      <c r="KN9" s="81"/>
      <c r="KO9" s="81"/>
      <c r="KP9" s="81"/>
      <c r="KQ9" s="81"/>
      <c r="KR9" s="81"/>
      <c r="KS9" s="81"/>
      <c r="KT9" s="81"/>
      <c r="KU9" s="81"/>
    </row>
    <row r="10" spans="1:307" s="533" customFormat="1" ht="15" hidden="1" customHeight="1" x14ac:dyDescent="0.25">
      <c r="A10" s="81"/>
      <c r="B10" s="81"/>
      <c r="C10" s="81"/>
      <c r="D10" s="81"/>
      <c r="E10" s="81"/>
      <c r="F10" s="81"/>
      <c r="G10" s="81"/>
      <c r="H10" s="81"/>
      <c r="I10" s="81"/>
      <c r="J10" s="81"/>
      <c r="K10" s="81"/>
      <c r="L10" s="81"/>
      <c r="M10" s="81"/>
      <c r="N10" s="81"/>
      <c r="O10" s="81"/>
      <c r="P10" s="81"/>
      <c r="Q10" s="81"/>
      <c r="R10" s="544"/>
      <c r="S10" s="653"/>
      <c r="T10" s="241"/>
      <c r="U10" s="242"/>
      <c r="V10" s="242"/>
      <c r="W10" s="242"/>
      <c r="X10" s="241"/>
      <c r="Y10" s="241"/>
      <c r="Z10" s="241"/>
      <c r="AA10" s="243"/>
      <c r="AB10" s="241"/>
      <c r="AC10" s="241"/>
      <c r="AD10" s="241"/>
      <c r="AE10" s="242"/>
      <c r="AF10" s="241"/>
      <c r="AG10" s="241"/>
      <c r="AH10" s="241"/>
      <c r="AI10" s="242"/>
      <c r="AJ10" s="242"/>
      <c r="AK10" s="242"/>
      <c r="AL10" s="241"/>
      <c r="AM10" s="241"/>
      <c r="AN10" s="241"/>
      <c r="AO10" s="241"/>
      <c r="AP10" s="241"/>
      <c r="AQ10" s="241"/>
      <c r="AR10" s="241"/>
      <c r="AS10" s="241"/>
      <c r="AT10" s="241"/>
      <c r="AU10" s="241"/>
      <c r="AV10" s="241"/>
      <c r="AW10" s="653"/>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583">
        <f t="shared" si="16"/>
        <v>90</v>
      </c>
      <c r="DV10" s="562">
        <f t="shared" si="14"/>
        <v>30</v>
      </c>
      <c r="DW10" s="78">
        <v>3</v>
      </c>
      <c r="DX10" s="78"/>
      <c r="DY10" s="78"/>
      <c r="DZ10" s="78"/>
      <c r="EA10" s="78"/>
      <c r="EB10" s="351">
        <f t="shared" si="0"/>
        <v>0</v>
      </c>
      <c r="EC10" s="351" t="str">
        <f t="shared" si="1"/>
        <v>X</v>
      </c>
      <c r="ED10" s="352" t="str">
        <f t="shared" si="2"/>
        <v>X</v>
      </c>
      <c r="EE10" s="78">
        <f t="shared" si="11"/>
        <v>9</v>
      </c>
      <c r="EF10" s="78" t="e">
        <f t="shared" si="3"/>
        <v>#NUM!</v>
      </c>
      <c r="EG10" s="540" t="e">
        <f t="shared" si="4"/>
        <v>#NUM!</v>
      </c>
      <c r="EH10" s="632" t="e">
        <f t="shared" si="12"/>
        <v>#NUM!</v>
      </c>
      <c r="EI10" s="646" t="e">
        <f t="shared" si="6"/>
        <v>#NUM!</v>
      </c>
      <c r="EJ10" s="544">
        <f t="shared" si="7"/>
        <v>0</v>
      </c>
      <c r="EK10" s="540">
        <f t="shared" si="8"/>
        <v>0</v>
      </c>
      <c r="EL10" s="544" t="e">
        <f t="shared" si="5"/>
        <v>#NUM!</v>
      </c>
      <c r="EM10" s="218">
        <f t="shared" si="9"/>
        <v>0</v>
      </c>
      <c r="EN10" s="540"/>
      <c r="EO10" s="540">
        <f t="shared" si="13"/>
        <v>120</v>
      </c>
      <c r="EP10" s="540">
        <f t="shared" si="10"/>
        <v>60</v>
      </c>
      <c r="EQ10" s="78"/>
      <c r="ER10" s="78"/>
      <c r="ES10" s="78"/>
      <c r="ET10" s="78"/>
      <c r="EU10" s="78"/>
      <c r="EV10" s="78"/>
      <c r="EW10" s="78"/>
      <c r="EX10" s="78"/>
      <c r="EY10" s="78"/>
      <c r="EZ10" s="78"/>
      <c r="FA10" s="78"/>
      <c r="FB10" s="78"/>
      <c r="FC10" s="78"/>
      <c r="FD10" s="78"/>
      <c r="FE10" s="78"/>
      <c r="FF10" s="78"/>
      <c r="FG10" s="78"/>
      <c r="FH10" s="78"/>
      <c r="FI10" s="78"/>
      <c r="FJ10" s="78"/>
      <c r="FK10" s="78"/>
      <c r="FL10" s="78"/>
      <c r="FM10" s="78"/>
      <c r="FN10" s="78"/>
      <c r="FO10" s="78"/>
      <c r="FP10" s="78"/>
      <c r="FQ10" s="78"/>
      <c r="FR10" s="78"/>
      <c r="FS10" s="78"/>
      <c r="FT10" s="78"/>
      <c r="FU10" s="78"/>
      <c r="FV10" s="78"/>
      <c r="FW10" s="78"/>
      <c r="FX10" s="78"/>
      <c r="FY10" s="78"/>
      <c r="FZ10" s="78"/>
      <c r="GA10" s="78"/>
      <c r="GB10" s="78"/>
      <c r="GC10" s="78"/>
      <c r="GD10" s="78"/>
      <c r="GE10" s="78"/>
      <c r="GF10" s="78"/>
      <c r="GG10" s="78"/>
      <c r="GH10" s="78"/>
      <c r="GI10" s="78"/>
      <c r="GJ10" s="78"/>
      <c r="GK10" s="78"/>
      <c r="GL10" s="78"/>
      <c r="GM10" s="78"/>
      <c r="GN10" s="571">
        <f t="shared" si="17"/>
        <v>90</v>
      </c>
      <c r="GO10" s="571">
        <f t="shared" si="15"/>
        <v>30</v>
      </c>
      <c r="GP10" s="78">
        <v>3</v>
      </c>
      <c r="GQ10" s="78"/>
      <c r="GR10" s="78"/>
      <c r="GS10" s="78"/>
      <c r="GT10" s="78"/>
      <c r="GU10" s="78"/>
      <c r="GV10" s="78"/>
      <c r="GW10" s="78"/>
      <c r="GX10" s="78"/>
      <c r="GY10" s="78"/>
      <c r="GZ10" s="78"/>
      <c r="HA10" s="78"/>
      <c r="HB10" s="78"/>
      <c r="HC10" s="78"/>
      <c r="HD10" s="78"/>
      <c r="HE10" s="78"/>
      <c r="HF10" s="78"/>
      <c r="HG10" s="78"/>
      <c r="HH10" s="78"/>
      <c r="HI10" s="78"/>
      <c r="HJ10" s="78"/>
      <c r="HK10" s="78"/>
      <c r="HL10" s="78"/>
      <c r="HM10" s="78"/>
      <c r="HN10" s="78"/>
      <c r="HO10" s="78"/>
      <c r="HP10" s="78"/>
      <c r="HQ10" s="78"/>
      <c r="HR10" s="78"/>
      <c r="HS10" s="78"/>
      <c r="HT10" s="78"/>
      <c r="HU10" s="78"/>
      <c r="HV10" s="78"/>
      <c r="HW10" s="78"/>
      <c r="HX10" s="78"/>
      <c r="HY10" s="78"/>
      <c r="HZ10" s="78"/>
      <c r="IA10" s="78"/>
      <c r="IB10" s="78"/>
      <c r="IC10" s="78"/>
      <c r="ID10" s="78"/>
      <c r="IE10" s="78"/>
      <c r="IF10" s="78"/>
      <c r="IG10" s="78"/>
      <c r="IH10" s="78"/>
      <c r="II10" s="78"/>
      <c r="IJ10" s="78"/>
      <c r="IK10" s="78"/>
      <c r="IL10" s="78"/>
      <c r="IM10" s="244"/>
      <c r="IN10" s="78"/>
      <c r="IO10" s="78"/>
      <c r="IP10" s="78"/>
      <c r="IQ10" s="78"/>
      <c r="IR10" s="569"/>
      <c r="IS10" s="570"/>
      <c r="IT10" s="570"/>
      <c r="IU10" s="570"/>
      <c r="IV10" s="570"/>
      <c r="IW10" s="570"/>
      <c r="IX10" s="247"/>
      <c r="IY10" s="248"/>
      <c r="IZ10" s="248"/>
      <c r="JA10" s="249"/>
      <c r="JB10" s="535"/>
      <c r="JC10" s="534"/>
      <c r="JD10" s="534"/>
      <c r="JE10" s="536"/>
      <c r="JF10" s="535"/>
      <c r="JG10" s="534"/>
      <c r="JH10" s="534"/>
      <c r="JI10" s="536"/>
      <c r="JJ10" s="247"/>
      <c r="JK10" s="248"/>
      <c r="JL10" s="248"/>
      <c r="JM10" s="249"/>
      <c r="JN10" s="535"/>
      <c r="JO10" s="534"/>
      <c r="JP10" s="534"/>
      <c r="JQ10" s="536"/>
      <c r="JR10" s="252"/>
      <c r="JS10" s="78"/>
      <c r="JT10" s="78"/>
      <c r="JU10" s="78"/>
      <c r="JV10" s="78"/>
      <c r="JW10" s="78"/>
      <c r="JX10" s="78"/>
      <c r="JY10" s="78"/>
      <c r="JZ10" s="78"/>
      <c r="KA10" s="78"/>
      <c r="KB10" s="78"/>
      <c r="KC10" s="78"/>
      <c r="KD10" s="78"/>
      <c r="KE10" s="78"/>
      <c r="KF10" s="78"/>
      <c r="KG10" s="78"/>
      <c r="KH10" s="78"/>
      <c r="KI10" s="78"/>
      <c r="KJ10" s="78"/>
      <c r="KK10" s="78"/>
      <c r="KM10" s="81"/>
      <c r="KN10" s="81"/>
      <c r="KO10" s="81"/>
      <c r="KP10" s="81"/>
      <c r="KQ10" s="81"/>
      <c r="KR10" s="81"/>
      <c r="KS10" s="81"/>
      <c r="KT10" s="81"/>
      <c r="KU10" s="81"/>
    </row>
    <row r="11" spans="1:307" s="533" customFormat="1" ht="15" hidden="1" customHeight="1" x14ac:dyDescent="0.25">
      <c r="A11" s="81"/>
      <c r="B11" s="81"/>
      <c r="C11" s="81"/>
      <c r="D11" s="81"/>
      <c r="E11" s="81"/>
      <c r="F11" s="81"/>
      <c r="G11" s="81"/>
      <c r="H11" s="81"/>
      <c r="I11" s="81"/>
      <c r="J11" s="81"/>
      <c r="K11" s="81"/>
      <c r="L11" s="81"/>
      <c r="M11" s="81"/>
      <c r="N11" s="81"/>
      <c r="O11" s="81"/>
      <c r="P11" s="81"/>
      <c r="Q11" s="81"/>
      <c r="R11" s="544"/>
      <c r="S11" s="653"/>
      <c r="T11" s="241"/>
      <c r="U11" s="242"/>
      <c r="V11" s="242"/>
      <c r="W11" s="242"/>
      <c r="X11" s="241"/>
      <c r="Y11" s="241"/>
      <c r="Z11" s="241"/>
      <c r="AA11" s="243"/>
      <c r="AB11" s="241"/>
      <c r="AC11" s="241"/>
      <c r="AD11" s="241"/>
      <c r="AE11" s="242"/>
      <c r="AF11" s="241"/>
      <c r="AG11" s="241"/>
      <c r="AH11" s="241"/>
      <c r="AI11" s="242"/>
      <c r="AJ11" s="242"/>
      <c r="AK11" s="242"/>
      <c r="AL11" s="241"/>
      <c r="AM11" s="241"/>
      <c r="AN11" s="241"/>
      <c r="AO11" s="241"/>
      <c r="AP11" s="241"/>
      <c r="AQ11" s="241"/>
      <c r="AR11" s="241"/>
      <c r="AS11" s="241"/>
      <c r="AT11" s="241"/>
      <c r="AU11" s="241"/>
      <c r="AV11" s="241"/>
      <c r="AW11" s="653"/>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537">
        <f t="shared" si="16"/>
        <v>85</v>
      </c>
      <c r="DV11" s="537">
        <f t="shared" si="14"/>
        <v>35</v>
      </c>
      <c r="DW11" s="78"/>
      <c r="DX11" s="78"/>
      <c r="DY11" s="78"/>
      <c r="DZ11" s="78"/>
      <c r="EA11" s="78"/>
      <c r="EB11" s="351">
        <f t="shared" si="0"/>
        <v>0</v>
      </c>
      <c r="EC11" s="351" t="str">
        <f t="shared" si="1"/>
        <v>X</v>
      </c>
      <c r="ED11" s="352" t="str">
        <f t="shared" si="2"/>
        <v>X</v>
      </c>
      <c r="EE11" s="78">
        <f t="shared" si="11"/>
        <v>10</v>
      </c>
      <c r="EF11" s="78" t="e">
        <f t="shared" si="3"/>
        <v>#NUM!</v>
      </c>
      <c r="EG11" s="540" t="e">
        <f t="shared" si="4"/>
        <v>#NUM!</v>
      </c>
      <c r="EH11" s="632" t="e">
        <f t="shared" si="12"/>
        <v>#NUM!</v>
      </c>
      <c r="EI11" s="646" t="e">
        <f t="shared" si="6"/>
        <v>#NUM!</v>
      </c>
      <c r="EJ11" s="544">
        <f t="shared" si="7"/>
        <v>0</v>
      </c>
      <c r="EK11" s="540">
        <f t="shared" si="8"/>
        <v>0</v>
      </c>
      <c r="EL11" s="544" t="e">
        <f t="shared" si="5"/>
        <v>#NUM!</v>
      </c>
      <c r="EM11" s="218">
        <f t="shared" si="9"/>
        <v>0</v>
      </c>
      <c r="EN11" s="540"/>
      <c r="EO11" s="540">
        <f t="shared" si="13"/>
        <v>135</v>
      </c>
      <c r="EP11" s="540">
        <f t="shared" si="10"/>
        <v>45</v>
      </c>
      <c r="EQ11" s="78"/>
      <c r="ER11" s="78"/>
      <c r="ES11" s="78"/>
      <c r="ET11" s="78"/>
      <c r="EU11" s="78"/>
      <c r="EV11" s="78"/>
      <c r="EW11" s="78"/>
      <c r="EX11" s="78"/>
      <c r="EY11" s="78"/>
      <c r="EZ11" s="78"/>
      <c r="FA11" s="78"/>
      <c r="FB11" s="78"/>
      <c r="FC11" s="78"/>
      <c r="FD11" s="78"/>
      <c r="FE11" s="78"/>
      <c r="FF11" s="78"/>
      <c r="FG11" s="78"/>
      <c r="FH11" s="78"/>
      <c r="FI11" s="78"/>
      <c r="FJ11" s="78"/>
      <c r="FK11" s="78"/>
      <c r="FL11" s="78"/>
      <c r="FM11" s="78"/>
      <c r="FN11" s="78"/>
      <c r="FO11" s="78"/>
      <c r="FP11" s="78"/>
      <c r="FQ11" s="78"/>
      <c r="FR11" s="78"/>
      <c r="FS11" s="78"/>
      <c r="FT11" s="78"/>
      <c r="FU11" s="78"/>
      <c r="FV11" s="78"/>
      <c r="FW11" s="78"/>
      <c r="FX11" s="78"/>
      <c r="FY11" s="78"/>
      <c r="FZ11" s="78"/>
      <c r="GA11" s="78"/>
      <c r="GB11" s="78"/>
      <c r="GC11" s="78"/>
      <c r="GD11" s="78"/>
      <c r="GE11" s="78"/>
      <c r="GF11" s="78"/>
      <c r="GG11" s="78"/>
      <c r="GH11" s="78"/>
      <c r="GI11" s="78"/>
      <c r="GJ11" s="78"/>
      <c r="GK11" s="78"/>
      <c r="GL11" s="78"/>
      <c r="GM11" s="78"/>
      <c r="GN11" s="537">
        <f t="shared" si="17"/>
        <v>85</v>
      </c>
      <c r="GO11" s="537">
        <f t="shared" si="15"/>
        <v>35</v>
      </c>
      <c r="GP11" s="78"/>
      <c r="GQ11" s="78"/>
      <c r="GR11" s="78"/>
      <c r="GS11" s="78"/>
      <c r="GT11" s="78"/>
      <c r="GU11" s="78"/>
      <c r="GV11" s="78"/>
      <c r="GW11" s="78"/>
      <c r="GX11" s="78"/>
      <c r="GY11" s="78"/>
      <c r="GZ11" s="78"/>
      <c r="HA11" s="78"/>
      <c r="HB11" s="78"/>
      <c r="HC11" s="78"/>
      <c r="HD11" s="78"/>
      <c r="HE11" s="78"/>
      <c r="HF11" s="78"/>
      <c r="HG11" s="78"/>
      <c r="HH11" s="78"/>
      <c r="HI11" s="78"/>
      <c r="HJ11" s="78"/>
      <c r="HK11" s="78"/>
      <c r="HL11" s="78"/>
      <c r="HM11" s="78"/>
      <c r="HN11" s="78"/>
      <c r="HO11" s="78"/>
      <c r="HP11" s="78"/>
      <c r="HQ11" s="78"/>
      <c r="HR11" s="78"/>
      <c r="HS11" s="78"/>
      <c r="HT11" s="78"/>
      <c r="HU11" s="78"/>
      <c r="HV11" s="78"/>
      <c r="HW11" s="78"/>
      <c r="HX11" s="78"/>
      <c r="HY11" s="78"/>
      <c r="HZ11" s="78"/>
      <c r="IA11" s="78"/>
      <c r="IB11" s="78"/>
      <c r="IC11" s="78"/>
      <c r="ID11" s="78"/>
      <c r="IE11" s="78"/>
      <c r="IF11" s="78"/>
      <c r="IG11" s="78"/>
      <c r="IH11" s="78"/>
      <c r="II11" s="78"/>
      <c r="IJ11" s="78"/>
      <c r="IK11" s="78"/>
      <c r="IL11" s="78"/>
      <c r="IM11" s="244"/>
      <c r="IN11" s="78"/>
      <c r="IO11" s="78"/>
      <c r="IP11" s="78"/>
      <c r="IQ11" s="78"/>
      <c r="IR11" s="569"/>
      <c r="IS11" s="570"/>
      <c r="IT11" s="570"/>
      <c r="IU11" s="570"/>
      <c r="IV11" s="570"/>
      <c r="IW11" s="570"/>
      <c r="IX11" s="247"/>
      <c r="IY11" s="248"/>
      <c r="IZ11" s="248"/>
      <c r="JA11" s="249"/>
      <c r="JB11" s="535"/>
      <c r="JC11" s="534"/>
      <c r="JD11" s="534"/>
      <c r="JE11" s="536"/>
      <c r="JF11" s="535"/>
      <c r="JG11" s="534"/>
      <c r="JH11" s="534"/>
      <c r="JI11" s="536"/>
      <c r="JJ11" s="247"/>
      <c r="JK11" s="248"/>
      <c r="JL11" s="248"/>
      <c r="JM11" s="249"/>
      <c r="JN11" s="535"/>
      <c r="JO11" s="534"/>
      <c r="JP11" s="534"/>
      <c r="JQ11" s="536"/>
      <c r="JR11" s="252"/>
      <c r="JS11" s="78"/>
      <c r="JT11" s="78"/>
      <c r="JU11" s="78"/>
      <c r="JV11" s="78"/>
      <c r="JW11" s="78"/>
      <c r="JX11" s="78"/>
      <c r="JY11" s="78"/>
      <c r="JZ11" s="78"/>
      <c r="KA11" s="78"/>
      <c r="KB11" s="78"/>
      <c r="KC11" s="78"/>
      <c r="KD11" s="78"/>
      <c r="KE11" s="78"/>
      <c r="KF11" s="78"/>
      <c r="KG11" s="78"/>
      <c r="KH11" s="78"/>
      <c r="KI11" s="78"/>
      <c r="KJ11" s="78"/>
      <c r="KK11" s="78"/>
      <c r="KM11" s="81"/>
      <c r="KN11" s="81"/>
      <c r="KO11" s="81"/>
      <c r="KP11" s="81"/>
      <c r="KQ11" s="81"/>
      <c r="KR11" s="81"/>
      <c r="KS11" s="81"/>
      <c r="KT11" s="81"/>
      <c r="KU11" s="81"/>
    </row>
    <row r="12" spans="1:307" s="533" customFormat="1" ht="10.15" customHeight="1" x14ac:dyDescent="0.25">
      <c r="A12" s="81"/>
      <c r="B12" s="81"/>
      <c r="C12" s="81"/>
      <c r="D12" s="81"/>
      <c r="E12" s="81"/>
      <c r="F12" s="81"/>
      <c r="G12" s="81"/>
      <c r="H12" s="81"/>
      <c r="I12" s="81"/>
      <c r="J12" s="81"/>
      <c r="K12" s="81"/>
      <c r="L12" s="81"/>
      <c r="M12" s="81"/>
      <c r="N12" s="81"/>
      <c r="O12" s="81"/>
      <c r="P12" s="81"/>
      <c r="Q12" s="81"/>
      <c r="R12" s="544"/>
      <c r="S12" s="653"/>
      <c r="T12" s="669"/>
      <c r="U12" s="670"/>
      <c r="V12" s="670"/>
      <c r="W12" s="670"/>
      <c r="X12" s="671"/>
      <c r="Y12" s="671"/>
      <c r="Z12" s="671"/>
      <c r="AA12" s="672"/>
      <c r="AB12" s="671"/>
      <c r="AC12" s="671"/>
      <c r="AD12" s="671"/>
      <c r="AE12" s="670"/>
      <c r="AF12" s="671"/>
      <c r="AG12" s="671"/>
      <c r="AH12" s="671"/>
      <c r="AI12" s="670"/>
      <c r="AJ12" s="670"/>
      <c r="AK12" s="670"/>
      <c r="AL12" s="671"/>
      <c r="AM12" s="671"/>
      <c r="AN12" s="671"/>
      <c r="AO12" s="673"/>
      <c r="AP12" s="81"/>
      <c r="AQ12" s="81"/>
      <c r="AR12" s="81"/>
      <c r="AS12" s="81"/>
      <c r="AT12" s="81"/>
      <c r="AU12" s="719"/>
      <c r="AV12" s="719"/>
      <c r="AW12" s="653"/>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583">
        <f t="shared" si="16"/>
        <v>80</v>
      </c>
      <c r="DV12" s="562">
        <f t="shared" si="14"/>
        <v>40</v>
      </c>
      <c r="DW12" s="78">
        <v>4</v>
      </c>
      <c r="DX12" s="78"/>
      <c r="DY12" s="78"/>
      <c r="DZ12" s="78"/>
      <c r="EA12" s="78"/>
      <c r="EB12" s="351">
        <f t="shared" si="0"/>
        <v>0</v>
      </c>
      <c r="EC12" s="351" t="str">
        <f t="shared" si="1"/>
        <v>X</v>
      </c>
      <c r="ED12" s="352" t="str">
        <f t="shared" si="2"/>
        <v>X</v>
      </c>
      <c r="EE12" s="78">
        <f t="shared" si="11"/>
        <v>11</v>
      </c>
      <c r="EF12" s="78" t="e">
        <f t="shared" si="3"/>
        <v>#NUM!</v>
      </c>
      <c r="EG12" s="540" t="e">
        <f t="shared" si="4"/>
        <v>#NUM!</v>
      </c>
      <c r="EH12" s="632" t="e">
        <f t="shared" si="12"/>
        <v>#NUM!</v>
      </c>
      <c r="EI12" s="646" t="e">
        <f t="shared" si="6"/>
        <v>#NUM!</v>
      </c>
      <c r="EJ12" s="544">
        <f t="shared" si="7"/>
        <v>0</v>
      </c>
      <c r="EK12" s="540">
        <f t="shared" si="8"/>
        <v>0</v>
      </c>
      <c r="EL12" s="544" t="e">
        <f t="shared" si="5"/>
        <v>#NUM!</v>
      </c>
      <c r="EM12" s="218">
        <f t="shared" si="9"/>
        <v>0</v>
      </c>
      <c r="EN12" s="540"/>
      <c r="EO12" s="540">
        <f t="shared" si="13"/>
        <v>150</v>
      </c>
      <c r="EP12" s="540">
        <f t="shared" si="10"/>
        <v>30</v>
      </c>
      <c r="EQ12" s="78"/>
      <c r="ER12" s="78"/>
      <c r="ES12" s="78"/>
      <c r="ET12" s="78"/>
      <c r="EU12" s="78"/>
      <c r="EV12" s="78"/>
      <c r="EW12" s="78"/>
      <c r="EX12" s="78"/>
      <c r="EY12" s="78"/>
      <c r="EZ12" s="78"/>
      <c r="FA12" s="78"/>
      <c r="FB12" s="78"/>
      <c r="FC12" s="78"/>
      <c r="FD12" s="78"/>
      <c r="FE12" s="78"/>
      <c r="FF12" s="78"/>
      <c r="FG12" s="78"/>
      <c r="FH12" s="78"/>
      <c r="FI12" s="78"/>
      <c r="FJ12" s="78"/>
      <c r="FK12" s="78"/>
      <c r="FL12" s="78"/>
      <c r="FM12" s="78"/>
      <c r="FN12" s="78"/>
      <c r="FO12" s="78"/>
      <c r="FP12" s="78"/>
      <c r="FQ12" s="78"/>
      <c r="FR12" s="78"/>
      <c r="FS12" s="78"/>
      <c r="FT12" s="78"/>
      <c r="FU12" s="78"/>
      <c r="FV12" s="78"/>
      <c r="FW12" s="78"/>
      <c r="FX12" s="78"/>
      <c r="FY12" s="78"/>
      <c r="FZ12" s="78"/>
      <c r="GA12" s="78"/>
      <c r="GB12" s="78"/>
      <c r="GC12" s="78"/>
      <c r="GD12" s="78"/>
      <c r="GE12" s="78"/>
      <c r="GF12" s="78"/>
      <c r="GG12" s="78"/>
      <c r="GH12" s="78"/>
      <c r="GI12" s="78"/>
      <c r="GJ12" s="78"/>
      <c r="GK12" s="78"/>
      <c r="GL12" s="78"/>
      <c r="GM12" s="78"/>
      <c r="GN12" s="537">
        <f t="shared" si="17"/>
        <v>80</v>
      </c>
      <c r="GO12" s="537">
        <f t="shared" si="15"/>
        <v>40</v>
      </c>
      <c r="GP12" s="78"/>
      <c r="GQ12" s="78"/>
      <c r="GR12" s="78"/>
      <c r="GS12" s="78"/>
      <c r="GT12" s="78"/>
      <c r="GU12" s="78"/>
      <c r="GV12" s="78"/>
      <c r="GW12" s="78"/>
      <c r="GX12" s="78"/>
      <c r="GY12" s="78"/>
      <c r="GZ12" s="78"/>
      <c r="HA12" s="78"/>
      <c r="HB12" s="78"/>
      <c r="HC12" s="78"/>
      <c r="HD12" s="78"/>
      <c r="HE12" s="78"/>
      <c r="HF12" s="78"/>
      <c r="HG12" s="78"/>
      <c r="HH12" s="78"/>
      <c r="HI12" s="78"/>
      <c r="HJ12" s="78"/>
      <c r="HK12" s="78"/>
      <c r="HL12" s="78"/>
      <c r="HM12" s="78"/>
      <c r="HN12" s="78"/>
      <c r="HO12" s="78"/>
      <c r="HP12" s="78"/>
      <c r="HQ12" s="78"/>
      <c r="HR12" s="78"/>
      <c r="HS12" s="78"/>
      <c r="HT12" s="78"/>
      <c r="HU12" s="78"/>
      <c r="HV12" s="78"/>
      <c r="HW12" s="78"/>
      <c r="HX12" s="78"/>
      <c r="HY12" s="78"/>
      <c r="HZ12" s="78"/>
      <c r="IA12" s="78"/>
      <c r="IB12" s="78"/>
      <c r="IC12" s="78"/>
      <c r="ID12" s="78"/>
      <c r="IE12" s="78"/>
      <c r="IF12" s="78"/>
      <c r="IG12" s="78"/>
      <c r="IH12" s="78"/>
      <c r="II12" s="78"/>
      <c r="IJ12" s="78"/>
      <c r="IK12" s="78"/>
      <c r="IL12" s="78"/>
      <c r="IM12" s="244"/>
      <c r="IN12" s="78"/>
      <c r="IO12" s="78"/>
      <c r="IP12" s="78"/>
      <c r="IQ12" s="78"/>
      <c r="IR12" s="569"/>
      <c r="IS12" s="570"/>
      <c r="IT12" s="570"/>
      <c r="IU12" s="570"/>
      <c r="IV12" s="570"/>
      <c r="IW12" s="570"/>
      <c r="IX12" s="247"/>
      <c r="IY12" s="248"/>
      <c r="IZ12" s="248"/>
      <c r="JA12" s="249"/>
      <c r="JB12" s="535"/>
      <c r="JC12" s="534"/>
      <c r="JD12" s="534"/>
      <c r="JE12" s="536"/>
      <c r="JF12" s="535"/>
      <c r="JG12" s="534"/>
      <c r="JH12" s="534"/>
      <c r="JI12" s="536"/>
      <c r="JJ12" s="247"/>
      <c r="JK12" s="248"/>
      <c r="JL12" s="248"/>
      <c r="JM12" s="249"/>
      <c r="JN12" s="535"/>
      <c r="JO12" s="534"/>
      <c r="JP12" s="534"/>
      <c r="JQ12" s="536"/>
      <c r="JR12" s="252"/>
      <c r="JS12" s="78"/>
      <c r="JT12" s="78"/>
      <c r="JU12" s="78"/>
      <c r="JV12" s="78"/>
      <c r="JW12" s="78"/>
      <c r="JX12" s="78"/>
      <c r="JY12" s="78"/>
      <c r="JZ12" s="78"/>
      <c r="KA12" s="78"/>
      <c r="KB12" s="78"/>
      <c r="KC12" s="78"/>
      <c r="KD12" s="78"/>
      <c r="KE12" s="78"/>
      <c r="KF12" s="78"/>
      <c r="KG12" s="78"/>
      <c r="KH12" s="78"/>
      <c r="KI12" s="78"/>
      <c r="KJ12" s="78"/>
      <c r="KK12" s="78"/>
      <c r="KM12" s="81"/>
      <c r="KN12" s="81"/>
      <c r="KO12" s="81"/>
      <c r="KP12" s="81"/>
      <c r="KQ12" s="81"/>
      <c r="KR12" s="81"/>
      <c r="KS12" s="81"/>
      <c r="KT12" s="81"/>
      <c r="KU12" s="81"/>
    </row>
    <row r="13" spans="1:307" ht="15" customHeight="1" thickBot="1" x14ac:dyDescent="0.3">
      <c r="S13" s="653"/>
      <c r="T13" s="674"/>
      <c r="U13" s="1541" t="s">
        <v>776</v>
      </c>
      <c r="V13" s="1541"/>
      <c r="W13" s="1541"/>
      <c r="X13" s="1541"/>
      <c r="Y13" s="1541"/>
      <c r="Z13" s="1541"/>
      <c r="AA13" s="1541"/>
      <c r="AB13" s="1541"/>
      <c r="AC13" s="1541"/>
      <c r="AD13" s="1541"/>
      <c r="AE13" s="1541"/>
      <c r="AF13" s="1541"/>
      <c r="AG13" s="1541"/>
      <c r="AH13" s="1541"/>
      <c r="AI13" s="1541"/>
      <c r="AJ13" s="1541"/>
      <c r="AK13" s="1541"/>
      <c r="AL13" s="1541"/>
      <c r="AM13" s="1541"/>
      <c r="AN13" s="1541"/>
      <c r="AO13" s="718"/>
      <c r="AP13" s="713"/>
      <c r="AQ13" s="714"/>
      <c r="AR13" s="714"/>
      <c r="AS13" s="714"/>
      <c r="AT13" s="714"/>
      <c r="AU13" s="788"/>
      <c r="AV13" s="719"/>
      <c r="AW13" s="893">
        <v>2</v>
      </c>
      <c r="AX13" s="250"/>
      <c r="AY13" s="297" t="str">
        <f t="shared" ref="AY13:AY24" si="18">U33</f>
        <v>YEAR 1</v>
      </c>
      <c r="AZ13" s="299"/>
      <c r="BA13" s="300"/>
      <c r="BB13" s="301"/>
      <c r="BC13" s="276"/>
      <c r="BD13" s="302" t="str">
        <f t="shared" ref="BD13:BD24" si="19">AB33</f>
        <v>YEAR 2</v>
      </c>
      <c r="BE13" s="303"/>
      <c r="BF13" s="304"/>
      <c r="BG13" s="305"/>
      <c r="BH13" s="276"/>
      <c r="BI13" s="306"/>
      <c r="BJ13" s="307"/>
      <c r="BK13" s="308"/>
      <c r="BL13" s="309"/>
      <c r="BO13" s="250"/>
      <c r="BP13" s="250"/>
      <c r="BQ13" s="250"/>
      <c r="BR13" s="250"/>
      <c r="BS13" s="250"/>
      <c r="BT13" s="250"/>
      <c r="BU13" s="250"/>
      <c r="BV13" s="250"/>
      <c r="BW13" s="250"/>
      <c r="BX13" s="250"/>
      <c r="BY13" s="250"/>
      <c r="BZ13" s="250"/>
      <c r="CA13" s="250"/>
      <c r="CB13" s="250"/>
      <c r="CC13" s="250"/>
      <c r="CD13" s="218">
        <v>120</v>
      </c>
      <c r="CE13" s="537"/>
      <c r="CF13" s="250"/>
      <c r="CG13" s="250"/>
      <c r="CH13" s="250"/>
      <c r="CI13" s="250"/>
      <c r="CJ13" s="250"/>
      <c r="CK13" s="250"/>
      <c r="CL13" s="250"/>
      <c r="CM13" s="250"/>
      <c r="CN13" s="250"/>
      <c r="CO13" s="250"/>
      <c r="CP13" s="250"/>
      <c r="CQ13" s="250"/>
      <c r="CR13" s="250"/>
      <c r="CS13" s="250"/>
      <c r="CT13" s="250"/>
      <c r="CU13" s="250"/>
      <c r="CV13" s="250"/>
      <c r="CW13" s="250"/>
      <c r="CX13" s="250"/>
      <c r="CY13" s="250"/>
      <c r="CZ13" s="250"/>
      <c r="DA13" s="250"/>
      <c r="DB13" s="250"/>
      <c r="DC13" s="250"/>
      <c r="DD13" s="250"/>
      <c r="DE13" s="250"/>
      <c r="DF13" s="250"/>
      <c r="DG13" s="250"/>
      <c r="DH13" s="250"/>
      <c r="DI13" s="250"/>
      <c r="DJ13" s="250"/>
      <c r="DK13" s="250"/>
      <c r="DL13" s="250"/>
      <c r="DM13" s="250"/>
      <c r="DN13" s="250"/>
      <c r="DO13" s="250"/>
      <c r="DP13" s="250"/>
      <c r="DQ13" s="250"/>
      <c r="DR13" s="250"/>
      <c r="DS13" s="250"/>
      <c r="DT13" s="250"/>
      <c r="DU13" s="583">
        <f t="shared" si="16"/>
        <v>75</v>
      </c>
      <c r="DV13" s="562">
        <f t="shared" si="14"/>
        <v>45</v>
      </c>
      <c r="DW13" s="537">
        <v>5</v>
      </c>
      <c r="DX13" s="250"/>
      <c r="DY13" s="250"/>
      <c r="DZ13" s="250"/>
      <c r="EA13" s="250"/>
      <c r="EB13" s="351">
        <f t="shared" si="0"/>
        <v>0</v>
      </c>
      <c r="EC13" s="351" t="str">
        <f t="shared" si="1"/>
        <v>X</v>
      </c>
      <c r="ED13" s="352" t="str">
        <f t="shared" si="2"/>
        <v>X</v>
      </c>
      <c r="EE13" s="78">
        <f t="shared" si="11"/>
        <v>12</v>
      </c>
      <c r="EF13" s="78" t="e">
        <f t="shared" si="3"/>
        <v>#NUM!</v>
      </c>
      <c r="EG13" s="540" t="e">
        <f t="shared" si="4"/>
        <v>#NUM!</v>
      </c>
      <c r="EH13" s="632" t="e">
        <f t="shared" si="12"/>
        <v>#NUM!</v>
      </c>
      <c r="EI13" s="646" t="e">
        <f t="shared" si="6"/>
        <v>#NUM!</v>
      </c>
      <c r="EJ13" s="544">
        <f t="shared" si="7"/>
        <v>0</v>
      </c>
      <c r="EK13" s="540">
        <f t="shared" si="8"/>
        <v>0</v>
      </c>
      <c r="EL13" s="544" t="e">
        <f t="shared" si="5"/>
        <v>#NUM!</v>
      </c>
      <c r="EM13" s="218">
        <f t="shared" si="9"/>
        <v>0</v>
      </c>
      <c r="EN13" s="540"/>
      <c r="EO13" s="540">
        <f t="shared" si="13"/>
        <v>165</v>
      </c>
      <c r="EP13" s="540">
        <f t="shared" si="10"/>
        <v>15</v>
      </c>
      <c r="EQ13" s="250"/>
      <c r="ER13" s="250"/>
      <c r="ES13" s="250"/>
      <c r="ET13" s="250"/>
      <c r="EU13" s="250"/>
      <c r="EV13" s="250"/>
      <c r="EW13" s="250"/>
      <c r="EX13" s="250"/>
      <c r="EY13" s="250"/>
      <c r="EZ13" s="250"/>
      <c r="FA13" s="250"/>
      <c r="FB13" s="250"/>
      <c r="FC13" s="250"/>
      <c r="FD13" s="250"/>
      <c r="FE13" s="250"/>
      <c r="FF13" s="250"/>
      <c r="FG13" s="250"/>
      <c r="FH13" s="250"/>
      <c r="FI13" s="250"/>
      <c r="FJ13" s="250"/>
      <c r="FK13" s="250"/>
      <c r="FL13" s="250"/>
      <c r="FM13" s="250"/>
      <c r="FN13" s="250"/>
      <c r="FO13" s="250"/>
      <c r="FP13" s="250"/>
      <c r="FQ13" s="250"/>
      <c r="FR13" s="250"/>
      <c r="FS13" s="250"/>
      <c r="FT13" s="250"/>
      <c r="FU13" s="250"/>
      <c r="FV13" s="250"/>
      <c r="FW13" s="250"/>
      <c r="FX13" s="250"/>
      <c r="FY13" s="250"/>
      <c r="FZ13" s="250"/>
      <c r="GA13" s="250"/>
      <c r="GB13" s="250"/>
      <c r="GC13" s="250"/>
      <c r="GD13" s="250"/>
      <c r="GE13" s="250"/>
      <c r="GF13" s="250"/>
      <c r="GG13" s="250"/>
      <c r="GH13" s="250"/>
      <c r="GI13" s="250"/>
      <c r="GJ13" s="250"/>
      <c r="GK13" s="250"/>
      <c r="GL13" s="250"/>
      <c r="GM13" s="250"/>
      <c r="GN13" s="537">
        <f t="shared" si="17"/>
        <v>75</v>
      </c>
      <c r="GO13" s="537">
        <f t="shared" si="15"/>
        <v>45</v>
      </c>
      <c r="GP13" s="250"/>
      <c r="GQ13" s="250"/>
      <c r="GR13" s="250"/>
      <c r="GS13" s="250"/>
      <c r="GT13" s="250"/>
      <c r="GU13" s="250"/>
      <c r="GV13" s="250"/>
      <c r="GW13" s="250"/>
      <c r="GX13" s="250"/>
      <c r="GY13" s="250"/>
      <c r="GZ13" s="250"/>
      <c r="HA13" s="250"/>
      <c r="HB13" s="250"/>
      <c r="HC13" s="250"/>
      <c r="HD13" s="250"/>
      <c r="HE13" s="250"/>
      <c r="HF13" s="250"/>
      <c r="HG13" s="250"/>
      <c r="HH13" s="250"/>
      <c r="HI13" s="250"/>
      <c r="HJ13" s="250"/>
      <c r="HK13" s="250"/>
      <c r="HL13" s="250"/>
      <c r="HM13" s="250"/>
      <c r="HN13" s="250"/>
      <c r="HO13" s="250"/>
      <c r="HP13" s="250"/>
      <c r="HQ13" s="250"/>
      <c r="HR13" s="250"/>
      <c r="HS13" s="250"/>
      <c r="HT13" s="250"/>
      <c r="HU13" s="250"/>
      <c r="HV13" s="250"/>
      <c r="HW13" s="250"/>
      <c r="HX13" s="250"/>
      <c r="HY13" s="250"/>
      <c r="HZ13" s="250"/>
      <c r="IA13" s="250"/>
      <c r="IB13" s="250"/>
      <c r="IC13" s="250"/>
      <c r="ID13" s="250"/>
      <c r="IE13" s="250"/>
      <c r="IF13" s="250"/>
      <c r="IG13" s="250"/>
      <c r="IH13" s="250"/>
      <c r="II13" s="250"/>
      <c r="IJ13" s="250"/>
      <c r="IK13" s="250"/>
      <c r="IL13" s="250"/>
      <c r="IM13" s="251"/>
      <c r="IN13" s="251"/>
      <c r="IO13" s="251"/>
      <c r="IP13" s="251"/>
      <c r="IQ13" s="251"/>
      <c r="IR13" s="252" t="s">
        <v>777</v>
      </c>
      <c r="IS13" s="253"/>
      <c r="IT13" s="253"/>
      <c r="IU13" s="253"/>
      <c r="IV13" s="253"/>
      <c r="IW13" s="253"/>
      <c r="IX13" s="247" t="s">
        <v>571</v>
      </c>
      <c r="IY13" s="254" t="s">
        <v>778</v>
      </c>
      <c r="IZ13" s="248"/>
      <c r="JA13" s="249"/>
      <c r="JB13" s="253" t="s">
        <v>575</v>
      </c>
      <c r="JC13" s="255" t="s">
        <v>779</v>
      </c>
      <c r="JD13" s="256"/>
      <c r="JE13" s="257"/>
      <c r="JF13" s="253" t="s">
        <v>579</v>
      </c>
      <c r="JG13" s="255" t="s">
        <v>780</v>
      </c>
      <c r="JH13" s="256"/>
      <c r="JI13" s="257"/>
      <c r="JJ13" s="247" t="s">
        <v>587</v>
      </c>
      <c r="JK13" s="254" t="s">
        <v>781</v>
      </c>
      <c r="JL13" s="248"/>
      <c r="JM13" s="249"/>
      <c r="JN13" s="253" t="s">
        <v>775</v>
      </c>
      <c r="JO13" s="255" t="s">
        <v>782</v>
      </c>
      <c r="JP13" s="256"/>
      <c r="JQ13" s="257"/>
      <c r="JR13" s="252" t="s">
        <v>775</v>
      </c>
      <c r="JS13" s="251"/>
      <c r="JT13" s="251"/>
      <c r="JU13" s="251"/>
      <c r="JV13" s="251"/>
      <c r="JW13" s="251"/>
      <c r="JX13" s="251"/>
      <c r="JY13" s="251"/>
      <c r="JZ13" s="251"/>
      <c r="KA13" s="251"/>
      <c r="KB13" s="251"/>
      <c r="KC13" s="251"/>
      <c r="KD13" s="251"/>
      <c r="KE13" s="251"/>
      <c r="KF13" s="251"/>
      <c r="KG13" s="251"/>
      <c r="KH13" s="251"/>
      <c r="KI13" s="251"/>
      <c r="KJ13" s="258"/>
      <c r="KK13" s="251"/>
    </row>
    <row r="14" spans="1:307" ht="15" customHeight="1" x14ac:dyDescent="0.25">
      <c r="S14" s="653"/>
      <c r="T14" s="675"/>
      <c r="U14" s="1541"/>
      <c r="V14" s="1541"/>
      <c r="W14" s="1541"/>
      <c r="X14" s="1541"/>
      <c r="Y14" s="1541"/>
      <c r="Z14" s="1541"/>
      <c r="AA14" s="1541"/>
      <c r="AB14" s="1541"/>
      <c r="AC14" s="1541"/>
      <c r="AD14" s="1541"/>
      <c r="AE14" s="1541"/>
      <c r="AF14" s="1541"/>
      <c r="AG14" s="1541"/>
      <c r="AH14" s="1541"/>
      <c r="AI14" s="1541"/>
      <c r="AJ14" s="1541"/>
      <c r="AK14" s="1541"/>
      <c r="AL14" s="1541"/>
      <c r="AM14" s="1541"/>
      <c r="AN14" s="1541"/>
      <c r="AO14" s="676"/>
      <c r="AP14" s="709"/>
      <c r="AQ14" s="709"/>
      <c r="AR14" s="709"/>
      <c r="AS14" s="709"/>
      <c r="AT14" s="709"/>
      <c r="AU14" s="724"/>
      <c r="AV14" s="719"/>
      <c r="AW14" s="653"/>
      <c r="AX14" s="250">
        <v>1</v>
      </c>
      <c r="AY14" s="545" t="str">
        <f t="shared" si="18"/>
        <v>Module</v>
      </c>
      <c r="AZ14" s="546" t="str">
        <f t="shared" ref="AZ14:AZ24" si="20">X34</f>
        <v>Credit</v>
      </c>
      <c r="BA14" s="546" t="str">
        <f t="shared" ref="BA14:BA24" si="21">Y34</f>
        <v>Mark</v>
      </c>
      <c r="BB14" s="546" t="str">
        <f t="shared" ref="BB14:BB24" si="22">Z34</f>
        <v>Grade</v>
      </c>
      <c r="BC14" s="547"/>
      <c r="BD14" s="548" t="str">
        <f t="shared" si="19"/>
        <v>Module</v>
      </c>
      <c r="BE14" s="549" t="str">
        <f t="shared" ref="BE14:BE24" si="23">AE34</f>
        <v>Credit</v>
      </c>
      <c r="BF14" s="549" t="str">
        <f t="shared" ref="BF14:BF24" si="24">AF34</f>
        <v>Mark</v>
      </c>
      <c r="BG14" s="549" t="str">
        <f t="shared" ref="BG14:BG24" si="25">AG34</f>
        <v>Grade</v>
      </c>
      <c r="BH14" s="550"/>
      <c r="BI14" s="548" t="str">
        <f t="shared" ref="BI14:BI24" si="26">AI34</f>
        <v>Module</v>
      </c>
      <c r="BJ14" s="549" t="str">
        <f t="shared" ref="BJ14:BJ24" si="27">AL34</f>
        <v>Credit</v>
      </c>
      <c r="BK14" s="549" t="str">
        <f t="shared" ref="BK14:BK24" si="28">AM34</f>
        <v>Mark</v>
      </c>
      <c r="BL14" s="549" t="str">
        <f t="shared" ref="BL14:BL24" si="29">AN34</f>
        <v>Grade</v>
      </c>
      <c r="BO14" s="537"/>
      <c r="BS14" s="537"/>
      <c r="BT14" s="537"/>
      <c r="BU14" s="537"/>
      <c r="BV14" s="537"/>
      <c r="BW14" s="537"/>
      <c r="BX14" s="537"/>
      <c r="BY14" s="537"/>
      <c r="BZ14" s="537"/>
      <c r="CA14" s="537"/>
      <c r="CB14" s="565" t="s">
        <v>888</v>
      </c>
      <c r="CC14" s="537"/>
      <c r="CD14" s="537">
        <f>CD13-5</f>
        <v>115</v>
      </c>
      <c r="CE14" s="537">
        <f t="shared" ref="CE14:CE19" si="30">$CD$13-CD14</f>
        <v>5</v>
      </c>
      <c r="CF14" s="537"/>
      <c r="CG14" s="537"/>
      <c r="CH14" s="537"/>
      <c r="CI14" s="537"/>
      <c r="CL14" s="537"/>
      <c r="CM14" s="250"/>
      <c r="CN14" s="250"/>
      <c r="CO14" s="250"/>
      <c r="CP14" s="250"/>
      <c r="CQ14" s="250"/>
      <c r="CR14" s="250"/>
      <c r="CS14" s="250"/>
      <c r="CT14" s="250"/>
      <c r="CU14" s="250"/>
      <c r="CV14" s="250"/>
      <c r="CW14" s="250"/>
      <c r="CX14" s="250"/>
      <c r="CY14" s="250"/>
      <c r="CZ14" s="250"/>
      <c r="DA14" s="250"/>
      <c r="DB14" s="250"/>
      <c r="DC14" s="250"/>
      <c r="DD14" s="250"/>
      <c r="DE14" s="250"/>
      <c r="DF14" s="250"/>
      <c r="DG14" s="250"/>
      <c r="DH14" s="250"/>
      <c r="DI14" s="250"/>
      <c r="DJ14" s="250"/>
      <c r="DK14" s="250"/>
      <c r="DL14" s="250"/>
      <c r="DM14" s="250"/>
      <c r="DN14" s="250"/>
      <c r="DO14" s="250"/>
      <c r="DP14" s="250"/>
      <c r="DQ14" s="250"/>
      <c r="DR14" s="250"/>
      <c r="DS14" s="565" t="s">
        <v>889</v>
      </c>
      <c r="DU14" s="537">
        <f t="shared" si="16"/>
        <v>70</v>
      </c>
      <c r="DV14" s="537">
        <f t="shared" si="14"/>
        <v>50</v>
      </c>
      <c r="DW14" s="537"/>
      <c r="DX14" s="250"/>
      <c r="DY14" s="250"/>
      <c r="DZ14" s="250"/>
      <c r="EA14" s="606" t="s">
        <v>15</v>
      </c>
      <c r="EB14" s="351">
        <f t="shared" ref="EB14:EB24" si="31">GL36</f>
        <v>0</v>
      </c>
      <c r="EC14" s="351" t="str">
        <f t="shared" ref="EC14:EC24" si="32">GM36</f>
        <v>X</v>
      </c>
      <c r="ED14" s="352" t="str">
        <f t="shared" ref="ED14:ED24" si="33">GN36</f>
        <v>X</v>
      </c>
      <c r="EE14" s="78">
        <f t="shared" si="11"/>
        <v>13</v>
      </c>
      <c r="EF14" s="78" t="e">
        <f t="shared" si="3"/>
        <v>#NUM!</v>
      </c>
      <c r="EG14" s="540" t="e">
        <f t="shared" si="4"/>
        <v>#NUM!</v>
      </c>
      <c r="EH14" s="632" t="e">
        <f t="shared" si="12"/>
        <v>#NUM!</v>
      </c>
      <c r="EI14" s="646" t="e">
        <f t="shared" si="6"/>
        <v>#NUM!</v>
      </c>
      <c r="EJ14" s="544">
        <f t="shared" si="7"/>
        <v>0</v>
      </c>
      <c r="EK14" s="540">
        <f t="shared" si="8"/>
        <v>0</v>
      </c>
      <c r="EL14" s="544" t="e">
        <f t="shared" si="5"/>
        <v>#NUM!</v>
      </c>
      <c r="EM14" s="218">
        <f t="shared" si="9"/>
        <v>0</v>
      </c>
      <c r="EN14" s="540"/>
      <c r="EO14" s="540">
        <f t="shared" si="13"/>
        <v>180</v>
      </c>
      <c r="EP14" s="540">
        <f>180-EO14</f>
        <v>0</v>
      </c>
      <c r="EQ14" s="250"/>
      <c r="ER14" s="250"/>
      <c r="ES14" s="250"/>
      <c r="ET14" s="250"/>
      <c r="EU14" s="250"/>
      <c r="EV14" s="250"/>
      <c r="EW14" s="250"/>
      <c r="EX14" s="250"/>
      <c r="EY14" s="250"/>
      <c r="EZ14" s="250"/>
      <c r="FA14" s="250"/>
      <c r="FB14" s="250"/>
      <c r="FC14" s="250"/>
      <c r="FD14" s="250"/>
      <c r="FE14" s="250"/>
      <c r="FF14" s="250"/>
      <c r="FG14" s="250"/>
      <c r="FH14" s="250"/>
      <c r="FI14" s="250"/>
      <c r="FJ14" s="250"/>
      <c r="FK14" s="250"/>
      <c r="FL14" s="250"/>
      <c r="FM14" s="250"/>
      <c r="FN14" s="250"/>
      <c r="FO14" s="250"/>
      <c r="FP14" s="250"/>
      <c r="FQ14" s="250"/>
      <c r="FR14" s="250"/>
      <c r="FS14" s="250"/>
      <c r="FT14" s="250"/>
      <c r="FU14" s="250"/>
      <c r="FV14" s="250"/>
      <c r="FW14" s="250"/>
      <c r="FX14" s="250"/>
      <c r="FY14" s="250"/>
      <c r="FZ14" s="250"/>
      <c r="GA14" s="250"/>
      <c r="GB14" s="250"/>
      <c r="GC14" s="250"/>
      <c r="GD14" s="250"/>
      <c r="GE14" s="250"/>
      <c r="GF14" s="250"/>
      <c r="GG14" s="250"/>
      <c r="GH14" s="250"/>
      <c r="GI14" s="250"/>
      <c r="GJ14" s="250"/>
      <c r="GK14" s="250"/>
      <c r="GL14" s="565" t="s">
        <v>890</v>
      </c>
      <c r="GM14" s="250"/>
      <c r="GN14" s="537">
        <f t="shared" si="17"/>
        <v>70</v>
      </c>
      <c r="GO14" s="537">
        <f t="shared" si="15"/>
        <v>50</v>
      </c>
      <c r="GP14" s="250"/>
      <c r="GQ14" s="250"/>
      <c r="GR14" s="250"/>
      <c r="GS14" s="250"/>
      <c r="GT14" s="250"/>
      <c r="GU14" s="250"/>
      <c r="GV14" s="250"/>
      <c r="GW14" s="250"/>
      <c r="GX14" s="250"/>
      <c r="GY14" s="250"/>
      <c r="GZ14" s="250"/>
      <c r="HA14" s="250"/>
      <c r="HB14" s="250"/>
      <c r="HC14" s="250"/>
      <c r="HD14" s="250"/>
      <c r="HE14" s="250"/>
      <c r="HF14" s="250"/>
      <c r="HG14" s="250"/>
      <c r="HH14" s="250"/>
      <c r="HI14" s="250"/>
      <c r="HJ14" s="250"/>
      <c r="HK14" s="250"/>
      <c r="HL14" s="250"/>
      <c r="HM14" s="250"/>
      <c r="HN14" s="250"/>
      <c r="HO14" s="250"/>
      <c r="HP14" s="250"/>
      <c r="HQ14" s="250"/>
      <c r="HR14" s="250"/>
      <c r="HS14" s="250"/>
      <c r="HT14" s="250"/>
      <c r="HU14" s="250"/>
      <c r="HV14" s="250"/>
      <c r="HW14" s="250"/>
      <c r="HX14" s="250"/>
      <c r="HY14" s="250"/>
      <c r="HZ14" s="250"/>
      <c r="IA14" s="250"/>
      <c r="IB14" s="250"/>
      <c r="IC14" s="250"/>
      <c r="ID14" s="250"/>
      <c r="IE14" s="250"/>
      <c r="IF14" s="250"/>
      <c r="IG14" s="250"/>
      <c r="IH14" s="250"/>
      <c r="II14" s="250"/>
      <c r="IJ14" s="250"/>
      <c r="IK14" s="250"/>
      <c r="IL14" s="250"/>
      <c r="IM14" s="251"/>
      <c r="IN14" s="251"/>
      <c r="IO14" s="251"/>
      <c r="IP14" s="251"/>
      <c r="IQ14" s="251"/>
      <c r="IR14" s="259"/>
      <c r="IS14" s="259"/>
      <c r="IT14" s="259"/>
      <c r="IU14" s="259"/>
      <c r="IV14" s="259"/>
      <c r="IW14" s="259"/>
      <c r="IX14" s="259"/>
      <c r="IY14" s="260"/>
      <c r="IZ14" s="259"/>
      <c r="JA14" s="259"/>
      <c r="JB14" s="259"/>
      <c r="JC14" s="260"/>
      <c r="JD14" s="259"/>
      <c r="JE14" s="259"/>
      <c r="JF14" s="259"/>
      <c r="JG14" s="260"/>
      <c r="JH14" s="259"/>
      <c r="JI14" s="259"/>
      <c r="JJ14" s="259"/>
      <c r="JK14" s="260"/>
      <c r="JL14" s="259"/>
      <c r="JM14" s="259"/>
      <c r="JN14" s="259"/>
      <c r="JO14" s="260"/>
      <c r="JP14" s="259"/>
      <c r="JQ14" s="259"/>
      <c r="JR14" s="259"/>
      <c r="JS14" s="251"/>
      <c r="JT14" s="251"/>
      <c r="JU14" s="251"/>
      <c r="JV14" s="251"/>
      <c r="JW14" s="251"/>
      <c r="JX14" s="251"/>
      <c r="JY14" s="251"/>
      <c r="JZ14" s="251"/>
      <c r="KA14" s="251"/>
      <c r="KB14" s="251"/>
      <c r="KC14" s="251"/>
      <c r="KD14" s="251"/>
      <c r="KE14" s="251"/>
      <c r="KF14" s="251"/>
      <c r="KG14" s="251"/>
      <c r="KH14" s="251"/>
      <c r="KI14" s="251"/>
      <c r="KJ14" s="261"/>
      <c r="KK14" s="251"/>
    </row>
    <row r="15" spans="1:307" ht="19.899999999999999" customHeight="1" x14ac:dyDescent="0.25">
      <c r="S15" s="653"/>
      <c r="T15" s="675"/>
      <c r="U15" s="1543" t="s">
        <v>1296</v>
      </c>
      <c r="V15" s="1543"/>
      <c r="W15" s="1543"/>
      <c r="X15" s="1543"/>
      <c r="Y15" s="1543"/>
      <c r="Z15" s="1543"/>
      <c r="AA15" s="1543"/>
      <c r="AB15" s="1543"/>
      <c r="AC15" s="1543"/>
      <c r="AD15" s="1543"/>
      <c r="AE15" s="1543"/>
      <c r="AF15" s="1543"/>
      <c r="AG15" s="1543"/>
      <c r="AH15" s="1543"/>
      <c r="AI15" s="1543"/>
      <c r="AJ15" s="1543"/>
      <c r="AK15" s="1543"/>
      <c r="AL15" s="1543"/>
      <c r="AM15" s="1543"/>
      <c r="AN15" s="1543"/>
      <c r="AO15" s="676"/>
      <c r="AP15" s="709"/>
      <c r="AQ15" s="709"/>
      <c r="AR15" s="709"/>
      <c r="AS15" s="709"/>
      <c r="AT15" s="709"/>
      <c r="AU15" s="724"/>
      <c r="AV15" s="719"/>
      <c r="AW15" s="653"/>
      <c r="AX15" s="1122">
        <v>1</v>
      </c>
      <c r="AY15" s="551" t="str">
        <f t="shared" si="18"/>
        <v/>
      </c>
      <c r="AZ15" s="552">
        <f t="shared" si="20"/>
        <v>0</v>
      </c>
      <c r="BA15" s="553">
        <f t="shared" si="21"/>
        <v>0</v>
      </c>
      <c r="BB15" s="554" t="str">
        <f t="shared" si="22"/>
        <v xml:space="preserve"> </v>
      </c>
      <c r="BC15" s="547"/>
      <c r="BD15" s="555" t="str">
        <f t="shared" si="19"/>
        <v/>
      </c>
      <c r="BE15" s="552">
        <f t="shared" si="23"/>
        <v>0</v>
      </c>
      <c r="BF15" s="553">
        <f t="shared" si="24"/>
        <v>0</v>
      </c>
      <c r="BG15" s="554" t="str">
        <f t="shared" si="25"/>
        <v xml:space="preserve"> </v>
      </c>
      <c r="BH15" s="547"/>
      <c r="BI15" s="555" t="str">
        <f t="shared" si="26"/>
        <v/>
      </c>
      <c r="BJ15" s="552">
        <f t="shared" si="27"/>
        <v>0</v>
      </c>
      <c r="BK15" s="553">
        <f t="shared" si="28"/>
        <v>0</v>
      </c>
      <c r="BL15" s="554" t="str">
        <f t="shared" si="29"/>
        <v xml:space="preserve"> </v>
      </c>
      <c r="BO15" s="537"/>
      <c r="BS15" s="537"/>
      <c r="BT15" s="537"/>
      <c r="BU15" s="537"/>
      <c r="BV15" s="537"/>
      <c r="BW15" s="537"/>
      <c r="BX15" s="537"/>
      <c r="BY15" s="537"/>
      <c r="BZ15" s="537"/>
      <c r="CA15" s="537"/>
      <c r="CB15" s="566">
        <f>ROUNDDOWN(BA15,0)</f>
        <v>0</v>
      </c>
      <c r="CC15" s="537"/>
      <c r="CD15" s="537">
        <f t="shared" ref="CD15:CD19" si="34">CD14-5</f>
        <v>110</v>
      </c>
      <c r="CE15" s="537">
        <f t="shared" si="30"/>
        <v>10</v>
      </c>
      <c r="CF15" s="537"/>
      <c r="CG15" s="537"/>
      <c r="CH15" s="537"/>
      <c r="CI15" s="537"/>
      <c r="CL15" s="537"/>
      <c r="CM15" s="250"/>
      <c r="CN15" s="250"/>
      <c r="CO15" s="250"/>
      <c r="CP15" s="250"/>
      <c r="CQ15" s="250"/>
      <c r="CR15" s="250"/>
      <c r="CS15" s="250"/>
      <c r="CT15" s="250"/>
      <c r="CU15" s="250"/>
      <c r="CV15" s="250"/>
      <c r="CW15" s="250"/>
      <c r="CX15" s="250"/>
      <c r="CY15" s="250"/>
      <c r="CZ15" s="250"/>
      <c r="DA15" s="250"/>
      <c r="DB15" s="250"/>
      <c r="DC15" s="250"/>
      <c r="DD15" s="250"/>
      <c r="DE15" s="250"/>
      <c r="DF15" s="250"/>
      <c r="DG15" s="250"/>
      <c r="DH15" s="250"/>
      <c r="DI15" s="250"/>
      <c r="DJ15" s="250"/>
      <c r="DK15" s="250"/>
      <c r="DL15" s="250"/>
      <c r="DM15" s="250"/>
      <c r="DN15" s="250"/>
      <c r="DO15" s="250"/>
      <c r="DP15" s="250"/>
      <c r="DQ15" s="250"/>
      <c r="DR15" s="250"/>
      <c r="DS15" s="566">
        <f t="shared" ref="DS15:DS19" si="35">ROUNDDOWN(BF15,0)</f>
        <v>0</v>
      </c>
      <c r="DU15" s="537">
        <f t="shared" si="16"/>
        <v>65</v>
      </c>
      <c r="DV15" s="537">
        <f t="shared" si="14"/>
        <v>55</v>
      </c>
      <c r="DW15" s="537"/>
      <c r="DX15" s="250"/>
      <c r="DY15" s="250"/>
      <c r="DZ15" s="250"/>
      <c r="EA15" s="250"/>
      <c r="EB15" s="351">
        <f t="shared" si="31"/>
        <v>0</v>
      </c>
      <c r="EC15" s="351" t="str">
        <f t="shared" si="32"/>
        <v>X</v>
      </c>
      <c r="ED15" s="352" t="str">
        <f t="shared" si="33"/>
        <v>X</v>
      </c>
      <c r="EE15" s="78">
        <f t="shared" si="11"/>
        <v>14</v>
      </c>
      <c r="EF15" s="78" t="e">
        <f t="shared" si="3"/>
        <v>#NUM!</v>
      </c>
      <c r="EG15" s="540" t="e">
        <f t="shared" si="4"/>
        <v>#NUM!</v>
      </c>
      <c r="EH15" s="632" t="e">
        <f t="shared" si="12"/>
        <v>#NUM!</v>
      </c>
      <c r="EI15" s="646" t="e">
        <f t="shared" si="6"/>
        <v>#NUM!</v>
      </c>
      <c r="EJ15" s="544">
        <f t="shared" si="7"/>
        <v>0</v>
      </c>
      <c r="EK15" s="540">
        <f t="shared" si="8"/>
        <v>0</v>
      </c>
      <c r="EL15" s="544" t="e">
        <f t="shared" si="5"/>
        <v>#NUM!</v>
      </c>
      <c r="EM15" s="218">
        <f t="shared" si="9"/>
        <v>0</v>
      </c>
      <c r="EN15" s="250"/>
      <c r="EP15" s="250"/>
      <c r="EQ15" s="250"/>
      <c r="ER15" s="250"/>
      <c r="ES15" s="250"/>
      <c r="ET15" s="250"/>
      <c r="EU15" s="250"/>
      <c r="EV15" s="250"/>
      <c r="EW15" s="250"/>
      <c r="EX15" s="250"/>
      <c r="EY15" s="250"/>
      <c r="EZ15" s="250"/>
      <c r="FA15" s="250"/>
      <c r="FB15" s="250"/>
      <c r="FC15" s="250"/>
      <c r="FD15" s="250"/>
      <c r="FE15" s="250"/>
      <c r="FF15" s="250"/>
      <c r="FG15" s="250"/>
      <c r="FH15" s="250"/>
      <c r="FI15" s="250"/>
      <c r="FJ15" s="250"/>
      <c r="FK15" s="250"/>
      <c r="FL15" s="250"/>
      <c r="FM15" s="250"/>
      <c r="FN15" s="250"/>
      <c r="FO15" s="250"/>
      <c r="FP15" s="250"/>
      <c r="FQ15" s="250"/>
      <c r="FR15" s="250"/>
      <c r="FS15" s="250"/>
      <c r="FT15" s="250"/>
      <c r="FU15" s="250"/>
      <c r="FV15" s="250"/>
      <c r="FW15" s="250"/>
      <c r="FX15" s="250"/>
      <c r="FY15" s="250"/>
      <c r="FZ15" s="250"/>
      <c r="GA15" s="250"/>
      <c r="GB15" s="250"/>
      <c r="GC15" s="250"/>
      <c r="GD15" s="250"/>
      <c r="GE15" s="250"/>
      <c r="GF15" s="250"/>
      <c r="GG15" s="250"/>
      <c r="GH15" s="250"/>
      <c r="GI15" s="250"/>
      <c r="GJ15" s="250"/>
      <c r="GK15" s="250"/>
      <c r="GL15" s="566">
        <f t="shared" ref="GL15:GL19" si="36">ROUNDDOWN(BK15,0)</f>
        <v>0</v>
      </c>
      <c r="GM15" s="250"/>
      <c r="GN15" s="537">
        <f t="shared" si="17"/>
        <v>65</v>
      </c>
      <c r="GO15" s="537">
        <f t="shared" si="15"/>
        <v>55</v>
      </c>
      <c r="GP15" s="250"/>
      <c r="GQ15" s="250"/>
      <c r="GR15" s="250"/>
      <c r="GS15" s="250"/>
      <c r="GT15" s="250"/>
      <c r="GU15" s="250"/>
      <c r="GV15" s="250"/>
      <c r="GW15" s="250"/>
      <c r="GX15" s="250"/>
      <c r="GY15" s="250"/>
      <c r="GZ15" s="250"/>
      <c r="HA15" s="250"/>
      <c r="HB15" s="250"/>
      <c r="HC15" s="250"/>
      <c r="HD15" s="250"/>
      <c r="HE15" s="250"/>
      <c r="HF15" s="250"/>
      <c r="HG15" s="250"/>
      <c r="HH15" s="250"/>
      <c r="HI15" s="250"/>
      <c r="HJ15" s="250"/>
      <c r="HK15" s="250"/>
      <c r="HL15" s="250"/>
      <c r="HM15" s="250"/>
      <c r="HN15" s="250"/>
      <c r="HO15" s="250"/>
      <c r="HP15" s="250"/>
      <c r="HQ15" s="250"/>
      <c r="HR15" s="250"/>
      <c r="HS15" s="250"/>
      <c r="HT15" s="250"/>
      <c r="HU15" s="250"/>
      <c r="HV15" s="250"/>
      <c r="HW15" s="250"/>
      <c r="HX15" s="250"/>
      <c r="HY15" s="250"/>
      <c r="HZ15" s="250"/>
      <c r="IA15" s="250"/>
      <c r="IB15" s="250"/>
      <c r="IC15" s="250"/>
      <c r="ID15" s="250"/>
      <c r="IE15" s="250"/>
      <c r="IF15" s="250"/>
      <c r="IG15" s="250"/>
      <c r="IH15" s="250"/>
      <c r="II15" s="250"/>
      <c r="IJ15" s="250"/>
      <c r="IK15" s="250"/>
      <c r="IL15" s="250"/>
      <c r="IM15" s="251"/>
      <c r="IN15" s="251"/>
      <c r="IO15" s="251"/>
      <c r="IP15" s="251"/>
      <c r="IQ15" s="251"/>
      <c r="IR15" s="259"/>
      <c r="IS15" s="259"/>
      <c r="IT15" s="259"/>
      <c r="IU15" s="259"/>
      <c r="IV15" s="259"/>
      <c r="IW15" s="259"/>
      <c r="IX15" s="259"/>
      <c r="IY15" s="260"/>
      <c r="IZ15" s="259"/>
      <c r="JA15" s="259"/>
      <c r="JB15" s="259"/>
      <c r="JC15" s="260"/>
      <c r="JD15" s="259"/>
      <c r="JE15" s="259"/>
      <c r="JF15" s="259"/>
      <c r="JG15" s="260"/>
      <c r="JH15" s="259"/>
      <c r="JI15" s="259"/>
      <c r="JJ15" s="259"/>
      <c r="JK15" s="260"/>
      <c r="JL15" s="259"/>
      <c r="JM15" s="259"/>
      <c r="JN15" s="259"/>
      <c r="JO15" s="260"/>
      <c r="JP15" s="259"/>
      <c r="JQ15" s="259"/>
      <c r="JR15" s="259"/>
      <c r="JS15" s="251"/>
      <c r="JT15" s="251"/>
      <c r="JU15" s="251"/>
      <c r="JV15" s="251"/>
      <c r="JW15" s="251"/>
      <c r="JX15" s="251"/>
      <c r="JY15" s="251"/>
      <c r="JZ15" s="251"/>
      <c r="KA15" s="251"/>
      <c r="KB15" s="251"/>
      <c r="KC15" s="251"/>
      <c r="KD15" s="251"/>
      <c r="KE15" s="251"/>
      <c r="KF15" s="251"/>
      <c r="KG15" s="251"/>
      <c r="KH15" s="251"/>
      <c r="KI15" s="251"/>
      <c r="KJ15" s="261"/>
      <c r="KK15" s="251"/>
    </row>
    <row r="16" spans="1:307" ht="19.899999999999999" customHeight="1" x14ac:dyDescent="0.25">
      <c r="S16" s="653"/>
      <c r="T16" s="675"/>
      <c r="U16" s="1543"/>
      <c r="V16" s="1543"/>
      <c r="W16" s="1543"/>
      <c r="X16" s="1543"/>
      <c r="Y16" s="1543"/>
      <c r="Z16" s="1543"/>
      <c r="AA16" s="1543"/>
      <c r="AB16" s="1543"/>
      <c r="AC16" s="1543"/>
      <c r="AD16" s="1543"/>
      <c r="AE16" s="1543"/>
      <c r="AF16" s="1543"/>
      <c r="AG16" s="1543"/>
      <c r="AH16" s="1543"/>
      <c r="AI16" s="1543"/>
      <c r="AJ16" s="1543"/>
      <c r="AK16" s="1543"/>
      <c r="AL16" s="1543"/>
      <c r="AM16" s="1543"/>
      <c r="AN16" s="1543"/>
      <c r="AO16" s="676"/>
      <c r="AP16" s="709"/>
      <c r="AQ16" s="709"/>
      <c r="AR16" s="709"/>
      <c r="AS16" s="709"/>
      <c r="AT16" s="709"/>
      <c r="AU16" s="724"/>
      <c r="AV16" s="719"/>
      <c r="AW16" s="653"/>
      <c r="AX16" s="1122">
        <f>AX15+1</f>
        <v>2</v>
      </c>
      <c r="AY16" s="556" t="str">
        <f t="shared" si="18"/>
        <v/>
      </c>
      <c r="AZ16" s="552">
        <f t="shared" si="20"/>
        <v>0</v>
      </c>
      <c r="BA16" s="557">
        <f t="shared" si="21"/>
        <v>0</v>
      </c>
      <c r="BB16" s="554" t="str">
        <f t="shared" si="22"/>
        <v xml:space="preserve"> </v>
      </c>
      <c r="BC16" s="547"/>
      <c r="BD16" s="555" t="str">
        <f t="shared" si="19"/>
        <v/>
      </c>
      <c r="BE16" s="552">
        <f t="shared" si="23"/>
        <v>0</v>
      </c>
      <c r="BF16" s="557">
        <f t="shared" si="24"/>
        <v>0</v>
      </c>
      <c r="BG16" s="554" t="str">
        <f t="shared" si="25"/>
        <v xml:space="preserve"> </v>
      </c>
      <c r="BH16" s="547"/>
      <c r="BI16" s="555" t="str">
        <f t="shared" si="26"/>
        <v/>
      </c>
      <c r="BJ16" s="552">
        <f t="shared" si="27"/>
        <v>0</v>
      </c>
      <c r="BK16" s="557">
        <f t="shared" si="28"/>
        <v>0</v>
      </c>
      <c r="BL16" s="554" t="str">
        <f t="shared" si="29"/>
        <v xml:space="preserve"> </v>
      </c>
      <c r="BO16" s="537"/>
      <c r="BS16" s="537"/>
      <c r="BT16" s="537"/>
      <c r="BU16" s="537"/>
      <c r="BV16" s="537"/>
      <c r="BW16" s="537"/>
      <c r="BX16" s="537"/>
      <c r="BY16" s="537"/>
      <c r="BZ16" s="537"/>
      <c r="CA16" s="537"/>
      <c r="CB16" s="566">
        <f t="shared" ref="CB16:CB19" si="37">ROUNDDOWN(BA16,0)</f>
        <v>0</v>
      </c>
      <c r="CC16" s="537"/>
      <c r="CD16" s="537">
        <f t="shared" si="34"/>
        <v>105</v>
      </c>
      <c r="CE16" s="537">
        <f t="shared" si="30"/>
        <v>15</v>
      </c>
      <c r="CF16" s="537"/>
      <c r="CG16" s="537"/>
      <c r="CH16" s="537"/>
      <c r="CI16" s="537"/>
      <c r="CL16" s="537"/>
      <c r="CM16" s="250"/>
      <c r="CN16" s="250"/>
      <c r="CO16" s="250"/>
      <c r="CP16" s="250"/>
      <c r="CQ16" s="250"/>
      <c r="CR16" s="250"/>
      <c r="CS16" s="250"/>
      <c r="CT16" s="250"/>
      <c r="CU16" s="250"/>
      <c r="CV16" s="250"/>
      <c r="CW16" s="250"/>
      <c r="CX16" s="250"/>
      <c r="CY16" s="250"/>
      <c r="CZ16" s="250"/>
      <c r="DA16" s="250"/>
      <c r="DB16" s="250"/>
      <c r="DC16" s="250"/>
      <c r="DD16" s="250"/>
      <c r="DE16" s="250"/>
      <c r="DF16" s="250"/>
      <c r="DG16" s="250"/>
      <c r="DH16" s="250"/>
      <c r="DI16" s="250"/>
      <c r="DJ16" s="250"/>
      <c r="DK16" s="250"/>
      <c r="DL16" s="250"/>
      <c r="DM16" s="250"/>
      <c r="DN16" s="250"/>
      <c r="DO16" s="250"/>
      <c r="DP16" s="250"/>
      <c r="DQ16" s="250"/>
      <c r="DR16" s="250"/>
      <c r="DS16" s="566">
        <f t="shared" si="35"/>
        <v>0</v>
      </c>
      <c r="DU16" s="583">
        <f t="shared" si="16"/>
        <v>60</v>
      </c>
      <c r="DV16" s="562">
        <f t="shared" si="14"/>
        <v>60</v>
      </c>
      <c r="DW16" s="537">
        <v>6</v>
      </c>
      <c r="DX16" s="250"/>
      <c r="DY16" s="250"/>
      <c r="DZ16" s="250"/>
      <c r="EA16" s="250"/>
      <c r="EB16" s="351">
        <f t="shared" si="31"/>
        <v>0</v>
      </c>
      <c r="EC16" s="351" t="str">
        <f t="shared" si="32"/>
        <v>X</v>
      </c>
      <c r="ED16" s="352" t="str">
        <f t="shared" si="33"/>
        <v>X</v>
      </c>
      <c r="EE16" s="78">
        <f t="shared" si="11"/>
        <v>15</v>
      </c>
      <c r="EF16" s="78" t="e">
        <f t="shared" si="3"/>
        <v>#NUM!</v>
      </c>
      <c r="EG16" s="540" t="e">
        <f t="shared" si="4"/>
        <v>#NUM!</v>
      </c>
      <c r="EH16" s="632" t="e">
        <f t="shared" si="12"/>
        <v>#NUM!</v>
      </c>
      <c r="EI16" s="646" t="e">
        <f t="shared" si="6"/>
        <v>#NUM!</v>
      </c>
      <c r="EJ16" s="544">
        <f t="shared" si="7"/>
        <v>0</v>
      </c>
      <c r="EK16" s="540">
        <f t="shared" si="8"/>
        <v>0</v>
      </c>
      <c r="EL16" s="544" t="e">
        <f t="shared" si="5"/>
        <v>#NUM!</v>
      </c>
      <c r="EM16" s="218">
        <f t="shared" si="9"/>
        <v>0</v>
      </c>
      <c r="EN16" s="250"/>
      <c r="EP16" s="250"/>
      <c r="EQ16" s="250"/>
      <c r="ER16" s="250"/>
      <c r="ES16" s="250"/>
      <c r="ET16" s="250"/>
      <c r="EU16" s="250"/>
      <c r="EV16" s="250"/>
      <c r="EW16" s="250"/>
      <c r="EX16" s="250"/>
      <c r="EY16" s="250"/>
      <c r="EZ16" s="250"/>
      <c r="FA16" s="250"/>
      <c r="FB16" s="250"/>
      <c r="FC16" s="250"/>
      <c r="FD16" s="250"/>
      <c r="FE16" s="250"/>
      <c r="FF16" s="250"/>
      <c r="FG16" s="250"/>
      <c r="FH16" s="250"/>
      <c r="FI16" s="250"/>
      <c r="FJ16" s="250"/>
      <c r="FK16" s="250"/>
      <c r="FL16" s="250"/>
      <c r="FM16" s="250"/>
      <c r="FN16" s="250"/>
      <c r="FO16" s="250"/>
      <c r="FP16" s="250"/>
      <c r="FQ16" s="250"/>
      <c r="FR16" s="250"/>
      <c r="FS16" s="250"/>
      <c r="FT16" s="250"/>
      <c r="FU16" s="250"/>
      <c r="FV16" s="250"/>
      <c r="FW16" s="250"/>
      <c r="FX16" s="250"/>
      <c r="FY16" s="250"/>
      <c r="FZ16" s="250"/>
      <c r="GA16" s="250"/>
      <c r="GB16" s="250"/>
      <c r="GC16" s="250"/>
      <c r="GD16" s="250"/>
      <c r="GE16" s="250"/>
      <c r="GF16" s="250"/>
      <c r="GG16" s="250"/>
      <c r="GH16" s="250"/>
      <c r="GI16" s="250"/>
      <c r="GJ16" s="250"/>
      <c r="GK16" s="250"/>
      <c r="GL16" s="566">
        <f t="shared" si="36"/>
        <v>0</v>
      </c>
      <c r="GM16" s="250"/>
      <c r="GN16" s="537">
        <f t="shared" si="17"/>
        <v>60</v>
      </c>
      <c r="GO16" s="537">
        <f t="shared" si="15"/>
        <v>60</v>
      </c>
      <c r="GP16" s="250"/>
      <c r="GQ16" s="250"/>
      <c r="GR16" s="250"/>
      <c r="GS16" s="250"/>
      <c r="GT16" s="250"/>
      <c r="GU16" s="250"/>
      <c r="GV16" s="250"/>
      <c r="GW16" s="250"/>
      <c r="GX16" s="250"/>
      <c r="GY16" s="250"/>
      <c r="GZ16" s="250"/>
      <c r="HA16" s="250"/>
      <c r="HB16" s="250"/>
      <c r="HC16" s="250"/>
      <c r="HD16" s="250"/>
      <c r="HE16" s="250"/>
      <c r="HF16" s="250"/>
      <c r="HG16" s="250"/>
      <c r="HH16" s="250"/>
      <c r="HI16" s="250"/>
      <c r="HJ16" s="250"/>
      <c r="HK16" s="250"/>
      <c r="HL16" s="250"/>
      <c r="HM16" s="250"/>
      <c r="HN16" s="250"/>
      <c r="HO16" s="250"/>
      <c r="HP16" s="250"/>
      <c r="HQ16" s="250"/>
      <c r="HR16" s="250"/>
      <c r="HS16" s="250"/>
      <c r="HT16" s="250"/>
      <c r="HU16" s="250"/>
      <c r="HV16" s="250"/>
      <c r="HW16" s="250"/>
      <c r="HX16" s="250"/>
      <c r="HY16" s="250"/>
      <c r="HZ16" s="250"/>
      <c r="IA16" s="250"/>
      <c r="IB16" s="250"/>
      <c r="IC16" s="250"/>
      <c r="ID16" s="250"/>
      <c r="IE16" s="250"/>
      <c r="IF16" s="250"/>
      <c r="IG16" s="250"/>
      <c r="IH16" s="250"/>
      <c r="II16" s="250"/>
      <c r="IJ16" s="250"/>
      <c r="IK16" s="250"/>
      <c r="IL16" s="250"/>
      <c r="IM16" s="251"/>
      <c r="IN16" s="251"/>
      <c r="IO16" s="251"/>
      <c r="IP16" s="251"/>
      <c r="IQ16" s="251"/>
      <c r="IR16" s="259"/>
      <c r="IS16" s="259"/>
      <c r="IT16" s="259"/>
      <c r="IU16" s="259"/>
      <c r="IV16" s="259"/>
      <c r="IW16" s="259"/>
      <c r="IX16" s="259"/>
      <c r="IY16" s="260"/>
      <c r="IZ16" s="259"/>
      <c r="JA16" s="259"/>
      <c r="JB16" s="259"/>
      <c r="JC16" s="260"/>
      <c r="JD16" s="259"/>
      <c r="JE16" s="259"/>
      <c r="JF16" s="259"/>
      <c r="JG16" s="260"/>
      <c r="JH16" s="259"/>
      <c r="JI16" s="259"/>
      <c r="JJ16" s="259"/>
      <c r="JK16" s="260"/>
      <c r="JL16" s="259"/>
      <c r="JM16" s="259"/>
      <c r="JN16" s="259"/>
      <c r="JO16" s="260"/>
      <c r="JP16" s="259"/>
      <c r="JQ16" s="259"/>
      <c r="JR16" s="259"/>
      <c r="JS16" s="251"/>
      <c r="JT16" s="251"/>
      <c r="JU16" s="251"/>
      <c r="JV16" s="251"/>
      <c r="JW16" s="251"/>
      <c r="JX16" s="251"/>
      <c r="JY16" s="251"/>
      <c r="JZ16" s="251"/>
      <c r="KA16" s="251"/>
      <c r="KB16" s="251"/>
      <c r="KC16" s="251"/>
      <c r="KD16" s="251"/>
      <c r="KE16" s="251"/>
      <c r="KF16" s="251"/>
      <c r="KG16" s="251"/>
      <c r="KH16" s="251"/>
      <c r="KI16" s="251"/>
      <c r="KJ16" s="261"/>
      <c r="KK16" s="251"/>
    </row>
    <row r="17" spans="1:368" ht="19.899999999999999" customHeight="1" x14ac:dyDescent="0.25">
      <c r="S17" s="653"/>
      <c r="T17" s="675"/>
      <c r="U17" s="1543"/>
      <c r="V17" s="1543"/>
      <c r="W17" s="1543"/>
      <c r="X17" s="1543"/>
      <c r="Y17" s="1543"/>
      <c r="Z17" s="1543"/>
      <c r="AA17" s="1543"/>
      <c r="AB17" s="1543"/>
      <c r="AC17" s="1543"/>
      <c r="AD17" s="1543"/>
      <c r="AE17" s="1543"/>
      <c r="AF17" s="1543"/>
      <c r="AG17" s="1543"/>
      <c r="AH17" s="1543"/>
      <c r="AI17" s="1543"/>
      <c r="AJ17" s="1543"/>
      <c r="AK17" s="1543"/>
      <c r="AL17" s="1543"/>
      <c r="AM17" s="1543"/>
      <c r="AN17" s="1543"/>
      <c r="AO17" s="676"/>
      <c r="AP17" s="709"/>
      <c r="AQ17" s="709"/>
      <c r="AR17" s="709"/>
      <c r="AS17" s="709"/>
      <c r="AT17" s="709"/>
      <c r="AU17" s="724"/>
      <c r="AV17" s="719"/>
      <c r="AW17" s="653"/>
      <c r="AX17" s="1122">
        <f t="shared" ref="AX17:AX26" si="38">AX16+1</f>
        <v>3</v>
      </c>
      <c r="AY17" s="551" t="str">
        <f t="shared" si="18"/>
        <v/>
      </c>
      <c r="AZ17" s="552">
        <f t="shared" si="20"/>
        <v>0</v>
      </c>
      <c r="BA17" s="557">
        <f t="shared" si="21"/>
        <v>0</v>
      </c>
      <c r="BB17" s="554" t="str">
        <f t="shared" si="22"/>
        <v xml:space="preserve"> </v>
      </c>
      <c r="BC17" s="547"/>
      <c r="BD17" s="555" t="str">
        <f t="shared" si="19"/>
        <v/>
      </c>
      <c r="BE17" s="552">
        <f t="shared" si="23"/>
        <v>0</v>
      </c>
      <c r="BF17" s="557">
        <f t="shared" si="24"/>
        <v>0</v>
      </c>
      <c r="BG17" s="554" t="str">
        <f t="shared" si="25"/>
        <v xml:space="preserve"> </v>
      </c>
      <c r="BH17" s="547"/>
      <c r="BI17" s="555" t="str">
        <f t="shared" si="26"/>
        <v/>
      </c>
      <c r="BJ17" s="552">
        <f t="shared" si="27"/>
        <v>0</v>
      </c>
      <c r="BK17" s="557">
        <f t="shared" si="28"/>
        <v>0</v>
      </c>
      <c r="BL17" s="554" t="str">
        <f t="shared" si="29"/>
        <v xml:space="preserve"> </v>
      </c>
      <c r="BO17" s="537"/>
      <c r="BS17" s="537"/>
      <c r="BT17" s="537"/>
      <c r="BU17" s="537"/>
      <c r="BV17" s="537"/>
      <c r="BW17" s="537"/>
      <c r="BX17" s="537"/>
      <c r="BY17" s="537"/>
      <c r="BZ17" s="537"/>
      <c r="CA17" s="537"/>
      <c r="CB17" s="566">
        <f t="shared" si="37"/>
        <v>0</v>
      </c>
      <c r="CC17" s="537"/>
      <c r="CD17" s="537">
        <f t="shared" si="34"/>
        <v>100</v>
      </c>
      <c r="CE17" s="537">
        <f t="shared" si="30"/>
        <v>20</v>
      </c>
      <c r="CF17" s="537"/>
      <c r="CG17" s="537"/>
      <c r="CH17" s="537"/>
      <c r="CI17" s="537"/>
      <c r="CL17" s="537"/>
      <c r="CM17" s="250"/>
      <c r="CN17" s="250"/>
      <c r="CO17" s="250"/>
      <c r="CP17" s="250"/>
      <c r="CQ17" s="250"/>
      <c r="CR17" s="250"/>
      <c r="CS17" s="250"/>
      <c r="CT17" s="250"/>
      <c r="CU17" s="250"/>
      <c r="CV17" s="250"/>
      <c r="CW17" s="250"/>
      <c r="CX17" s="250"/>
      <c r="CY17" s="250"/>
      <c r="CZ17" s="250"/>
      <c r="DA17" s="250"/>
      <c r="DB17" s="250"/>
      <c r="DC17" s="250"/>
      <c r="DD17" s="250"/>
      <c r="DE17" s="250"/>
      <c r="DF17" s="250"/>
      <c r="DG17" s="250"/>
      <c r="DH17" s="250"/>
      <c r="DI17" s="250"/>
      <c r="DJ17" s="250"/>
      <c r="DK17" s="250"/>
      <c r="DL17" s="250"/>
      <c r="DM17" s="250"/>
      <c r="DN17" s="250"/>
      <c r="DO17" s="250"/>
      <c r="DP17" s="250"/>
      <c r="DQ17" s="250"/>
      <c r="DR17" s="250"/>
      <c r="DS17" s="566">
        <f t="shared" si="35"/>
        <v>0</v>
      </c>
      <c r="DU17" s="537">
        <f t="shared" si="16"/>
        <v>55</v>
      </c>
      <c r="DV17" s="537">
        <f t="shared" si="14"/>
        <v>65</v>
      </c>
      <c r="DW17" s="537"/>
      <c r="DX17" s="250"/>
      <c r="DY17" s="250"/>
      <c r="DZ17" s="250"/>
      <c r="EA17" s="250"/>
      <c r="EB17" s="351">
        <f t="shared" si="31"/>
        <v>0</v>
      </c>
      <c r="EC17" s="351" t="str">
        <f t="shared" si="32"/>
        <v>X</v>
      </c>
      <c r="ED17" s="352" t="str">
        <f t="shared" si="33"/>
        <v>X</v>
      </c>
      <c r="EE17" s="78">
        <f t="shared" si="11"/>
        <v>16</v>
      </c>
      <c r="EF17" s="78" t="e">
        <f t="shared" si="3"/>
        <v>#NUM!</v>
      </c>
      <c r="EG17" s="540" t="e">
        <f t="shared" si="4"/>
        <v>#NUM!</v>
      </c>
      <c r="EH17" s="632" t="e">
        <f t="shared" si="12"/>
        <v>#NUM!</v>
      </c>
      <c r="EI17" s="646" t="e">
        <f t="shared" si="6"/>
        <v>#NUM!</v>
      </c>
      <c r="EJ17" s="544">
        <f t="shared" si="7"/>
        <v>0</v>
      </c>
      <c r="EK17" s="540">
        <f t="shared" si="8"/>
        <v>0</v>
      </c>
      <c r="EL17" s="544" t="e">
        <f t="shared" si="5"/>
        <v>#NUM!</v>
      </c>
      <c r="EM17" s="218">
        <f t="shared" si="9"/>
        <v>0</v>
      </c>
      <c r="EN17" s="250"/>
      <c r="EP17" s="250"/>
      <c r="EQ17" s="250"/>
      <c r="ER17" s="250"/>
      <c r="ES17" s="250"/>
      <c r="ET17" s="250"/>
      <c r="EU17" s="250"/>
      <c r="EV17" s="250"/>
      <c r="EW17" s="250"/>
      <c r="EX17" s="250"/>
      <c r="EY17" s="250"/>
      <c r="EZ17" s="250"/>
      <c r="FA17" s="250"/>
      <c r="FB17" s="250"/>
      <c r="FC17" s="250"/>
      <c r="FD17" s="250"/>
      <c r="FE17" s="250"/>
      <c r="FF17" s="250"/>
      <c r="FG17" s="250"/>
      <c r="FH17" s="250"/>
      <c r="FI17" s="250"/>
      <c r="FJ17" s="250"/>
      <c r="FK17" s="250"/>
      <c r="FL17" s="250"/>
      <c r="FM17" s="250"/>
      <c r="FN17" s="250"/>
      <c r="FO17" s="250"/>
      <c r="FP17" s="250"/>
      <c r="FQ17" s="250"/>
      <c r="FR17" s="250"/>
      <c r="FS17" s="250"/>
      <c r="FT17" s="250"/>
      <c r="FU17" s="250"/>
      <c r="FV17" s="250"/>
      <c r="FW17" s="250"/>
      <c r="FX17" s="250"/>
      <c r="FY17" s="250"/>
      <c r="FZ17" s="250"/>
      <c r="GA17" s="250"/>
      <c r="GB17" s="250"/>
      <c r="GC17" s="250"/>
      <c r="GD17" s="250"/>
      <c r="GE17" s="250"/>
      <c r="GF17" s="250"/>
      <c r="GG17" s="250"/>
      <c r="GH17" s="250"/>
      <c r="GI17" s="250"/>
      <c r="GJ17" s="250"/>
      <c r="GK17" s="250"/>
      <c r="GL17" s="566">
        <f t="shared" si="36"/>
        <v>0</v>
      </c>
      <c r="GM17" s="250"/>
      <c r="GN17" s="537">
        <f t="shared" si="17"/>
        <v>55</v>
      </c>
      <c r="GO17" s="537">
        <f t="shared" si="15"/>
        <v>65</v>
      </c>
      <c r="GP17" s="250"/>
      <c r="GQ17" s="250"/>
      <c r="GR17" s="250"/>
      <c r="GS17" s="250"/>
      <c r="GT17" s="250"/>
      <c r="GU17" s="250"/>
      <c r="GV17" s="250"/>
      <c r="GW17" s="250"/>
      <c r="GX17" s="250"/>
      <c r="GY17" s="250"/>
      <c r="GZ17" s="250"/>
      <c r="HA17" s="250"/>
      <c r="HB17" s="250"/>
      <c r="HC17" s="250"/>
      <c r="HD17" s="250"/>
      <c r="HE17" s="250"/>
      <c r="HF17" s="250"/>
      <c r="HG17" s="250"/>
      <c r="HH17" s="250"/>
      <c r="HI17" s="250"/>
      <c r="HJ17" s="250"/>
      <c r="HK17" s="250"/>
      <c r="HL17" s="250"/>
      <c r="HM17" s="250"/>
      <c r="HN17" s="250"/>
      <c r="HO17" s="250"/>
      <c r="HP17" s="250"/>
      <c r="HQ17" s="250"/>
      <c r="HR17" s="250"/>
      <c r="HS17" s="250"/>
      <c r="HT17" s="250"/>
      <c r="HU17" s="250"/>
      <c r="HV17" s="250"/>
      <c r="HW17" s="250"/>
      <c r="HX17" s="250"/>
      <c r="HY17" s="250"/>
      <c r="HZ17" s="250"/>
      <c r="IA17" s="250"/>
      <c r="IB17" s="250"/>
      <c r="IC17" s="250"/>
      <c r="ID17" s="250"/>
      <c r="IE17" s="250"/>
      <c r="IF17" s="250"/>
      <c r="IG17" s="250"/>
      <c r="IH17" s="250"/>
      <c r="II17" s="250"/>
      <c r="IJ17" s="250"/>
      <c r="IK17" s="250"/>
      <c r="IL17" s="250"/>
      <c r="IM17" s="251"/>
      <c r="IN17" s="251"/>
      <c r="IO17" s="251"/>
      <c r="IP17" s="251"/>
      <c r="IQ17" s="251"/>
      <c r="IR17" s="259"/>
      <c r="IS17" s="259"/>
      <c r="IT17" s="259"/>
      <c r="IU17" s="259"/>
      <c r="IV17" s="259"/>
      <c r="IW17" s="259"/>
      <c r="IX17" s="259"/>
      <c r="IY17" s="260"/>
      <c r="IZ17" s="259"/>
      <c r="JA17" s="259"/>
      <c r="JB17" s="259"/>
      <c r="JC17" s="260"/>
      <c r="JD17" s="259"/>
      <c r="JE17" s="259"/>
      <c r="JF17" s="259"/>
      <c r="JG17" s="260"/>
      <c r="JH17" s="259"/>
      <c r="JI17" s="259"/>
      <c r="JJ17" s="259"/>
      <c r="JK17" s="260"/>
      <c r="JL17" s="259"/>
      <c r="JM17" s="259"/>
      <c r="JN17" s="259"/>
      <c r="JO17" s="260"/>
      <c r="JP17" s="259"/>
      <c r="JQ17" s="259"/>
      <c r="JR17" s="259"/>
      <c r="JS17" s="251"/>
      <c r="JT17" s="251"/>
      <c r="JU17" s="251"/>
      <c r="JV17" s="251"/>
      <c r="JW17" s="251"/>
      <c r="JX17" s="251"/>
      <c r="JY17" s="251"/>
      <c r="JZ17" s="251"/>
      <c r="KA17" s="251"/>
      <c r="KB17" s="251"/>
      <c r="KC17" s="251"/>
      <c r="KD17" s="251"/>
      <c r="KE17" s="251"/>
      <c r="KF17" s="251"/>
      <c r="KG17" s="251"/>
      <c r="KH17" s="251"/>
      <c r="KI17" s="251"/>
      <c r="KJ17" s="261"/>
      <c r="KK17" s="251"/>
    </row>
    <row r="18" spans="1:368" ht="19.899999999999999" customHeight="1" x14ac:dyDescent="0.25">
      <c r="S18" s="653"/>
      <c r="T18" s="675"/>
      <c r="U18" s="1543"/>
      <c r="V18" s="1543"/>
      <c r="W18" s="1543"/>
      <c r="X18" s="1543"/>
      <c r="Y18" s="1543"/>
      <c r="Z18" s="1543"/>
      <c r="AA18" s="1543"/>
      <c r="AB18" s="1543"/>
      <c r="AC18" s="1543"/>
      <c r="AD18" s="1543"/>
      <c r="AE18" s="1543"/>
      <c r="AF18" s="1543"/>
      <c r="AG18" s="1543"/>
      <c r="AH18" s="1543"/>
      <c r="AI18" s="1543"/>
      <c r="AJ18" s="1543"/>
      <c r="AK18" s="1543"/>
      <c r="AL18" s="1543"/>
      <c r="AM18" s="1543"/>
      <c r="AN18" s="1543"/>
      <c r="AO18" s="677"/>
      <c r="AP18" s="710"/>
      <c r="AQ18" s="710"/>
      <c r="AR18" s="710"/>
      <c r="AS18" s="710"/>
      <c r="AT18" s="710"/>
      <c r="AU18" s="789"/>
      <c r="AV18" s="719"/>
      <c r="AW18" s="653"/>
      <c r="AX18" s="1122">
        <f t="shared" si="38"/>
        <v>4</v>
      </c>
      <c r="AY18" s="551" t="str">
        <f t="shared" si="18"/>
        <v/>
      </c>
      <c r="AZ18" s="552">
        <f t="shared" si="20"/>
        <v>0</v>
      </c>
      <c r="BA18" s="557">
        <f t="shared" si="21"/>
        <v>0</v>
      </c>
      <c r="BB18" s="554" t="str">
        <f t="shared" si="22"/>
        <v xml:space="preserve"> </v>
      </c>
      <c r="BC18" s="547"/>
      <c r="BD18" s="555" t="str">
        <f t="shared" si="19"/>
        <v/>
      </c>
      <c r="BE18" s="552">
        <f t="shared" si="23"/>
        <v>0</v>
      </c>
      <c r="BF18" s="557">
        <f t="shared" si="24"/>
        <v>0</v>
      </c>
      <c r="BG18" s="554" t="str">
        <f t="shared" si="25"/>
        <v xml:space="preserve"> </v>
      </c>
      <c r="BH18" s="547"/>
      <c r="BI18" s="555" t="str">
        <f t="shared" si="26"/>
        <v/>
      </c>
      <c r="BJ18" s="552">
        <f t="shared" si="27"/>
        <v>0</v>
      </c>
      <c r="BK18" s="557">
        <f t="shared" si="28"/>
        <v>0</v>
      </c>
      <c r="BL18" s="554" t="str">
        <f t="shared" si="29"/>
        <v xml:space="preserve"> </v>
      </c>
      <c r="BO18" s="537"/>
      <c r="BS18" s="537"/>
      <c r="BT18" s="537"/>
      <c r="BU18" s="537"/>
      <c r="BV18" s="537"/>
      <c r="BW18" s="537"/>
      <c r="BX18" s="537"/>
      <c r="BY18" s="537"/>
      <c r="BZ18" s="537"/>
      <c r="CA18" s="537"/>
      <c r="CB18" s="566">
        <f t="shared" si="37"/>
        <v>0</v>
      </c>
      <c r="CC18" s="537"/>
      <c r="CD18" s="537">
        <f>CD17-5</f>
        <v>95</v>
      </c>
      <c r="CE18" s="537">
        <f t="shared" si="30"/>
        <v>25</v>
      </c>
      <c r="CF18" s="537"/>
      <c r="CG18" s="537"/>
      <c r="CH18" s="537"/>
      <c r="CI18" s="537"/>
      <c r="CL18" s="537"/>
      <c r="CM18" s="250"/>
      <c r="CN18" s="250"/>
      <c r="CO18" s="250"/>
      <c r="CP18" s="250"/>
      <c r="CQ18" s="250"/>
      <c r="CR18" s="250"/>
      <c r="CS18" s="250"/>
      <c r="CT18" s="250"/>
      <c r="CU18" s="250"/>
      <c r="CV18" s="250"/>
      <c r="CW18" s="250"/>
      <c r="CX18" s="250"/>
      <c r="CY18" s="250"/>
      <c r="CZ18" s="250"/>
      <c r="DA18" s="250"/>
      <c r="DB18" s="250"/>
      <c r="DC18" s="250"/>
      <c r="DD18" s="250"/>
      <c r="DE18" s="250"/>
      <c r="DF18" s="250"/>
      <c r="DG18" s="250"/>
      <c r="DH18" s="250"/>
      <c r="DI18" s="250"/>
      <c r="DJ18" s="250"/>
      <c r="DK18" s="250"/>
      <c r="DL18" s="250"/>
      <c r="DM18" s="250"/>
      <c r="DN18" s="250"/>
      <c r="DO18" s="250"/>
      <c r="DP18" s="250"/>
      <c r="DQ18" s="250"/>
      <c r="DR18" s="250"/>
      <c r="DS18" s="566">
        <f t="shared" si="35"/>
        <v>0</v>
      </c>
      <c r="DU18" s="537">
        <f>DU17-5</f>
        <v>50</v>
      </c>
      <c r="DV18" s="537">
        <f t="shared" si="14"/>
        <v>70</v>
      </c>
      <c r="DW18" s="537"/>
      <c r="DX18" s="250"/>
      <c r="DY18" s="250"/>
      <c r="DZ18" s="250"/>
      <c r="EA18" s="250"/>
      <c r="EB18" s="351">
        <f t="shared" si="31"/>
        <v>0</v>
      </c>
      <c r="EC18" s="351" t="str">
        <f t="shared" si="32"/>
        <v>X</v>
      </c>
      <c r="ED18" s="352" t="str">
        <f t="shared" si="33"/>
        <v>X</v>
      </c>
      <c r="EE18" s="78">
        <f>EE17+1</f>
        <v>17</v>
      </c>
      <c r="EF18" s="78" t="e">
        <f t="shared" si="3"/>
        <v>#NUM!</v>
      </c>
      <c r="EG18" s="540" t="e">
        <f t="shared" si="4"/>
        <v>#NUM!</v>
      </c>
      <c r="EH18" s="632" t="e">
        <f>EH17+EG18</f>
        <v>#NUM!</v>
      </c>
      <c r="EI18" s="646" t="e">
        <f t="shared" si="6"/>
        <v>#NUM!</v>
      </c>
      <c r="EJ18" s="544">
        <f t="shared" si="7"/>
        <v>0</v>
      </c>
      <c r="EK18" s="540">
        <f t="shared" si="8"/>
        <v>0</v>
      </c>
      <c r="EL18" s="544" t="e">
        <f t="shared" si="5"/>
        <v>#NUM!</v>
      </c>
      <c r="EM18" s="218">
        <f t="shared" si="9"/>
        <v>0</v>
      </c>
      <c r="EN18" s="250"/>
      <c r="EP18" s="250"/>
      <c r="EQ18" s="250"/>
      <c r="ER18" s="250"/>
      <c r="ES18" s="250"/>
      <c r="ET18" s="250"/>
      <c r="EU18" s="250"/>
      <c r="EV18" s="250"/>
      <c r="EW18" s="250"/>
      <c r="EX18" s="250"/>
      <c r="EY18" s="250"/>
      <c r="EZ18" s="250"/>
      <c r="FA18" s="250"/>
      <c r="FB18" s="250"/>
      <c r="FC18" s="250"/>
      <c r="FD18" s="250"/>
      <c r="FE18" s="250"/>
      <c r="FF18" s="250"/>
      <c r="FG18" s="250"/>
      <c r="FH18" s="250"/>
      <c r="FI18" s="250"/>
      <c r="FJ18" s="250"/>
      <c r="FK18" s="250"/>
      <c r="FL18" s="250"/>
      <c r="FM18" s="250"/>
      <c r="FN18" s="250"/>
      <c r="FO18" s="250"/>
      <c r="FP18" s="250"/>
      <c r="FQ18" s="250"/>
      <c r="FR18" s="250"/>
      <c r="FS18" s="250"/>
      <c r="FT18" s="250"/>
      <c r="FU18" s="250"/>
      <c r="FV18" s="250"/>
      <c r="FW18" s="250"/>
      <c r="FX18" s="250"/>
      <c r="FY18" s="250"/>
      <c r="FZ18" s="250"/>
      <c r="GA18" s="250"/>
      <c r="GB18" s="250"/>
      <c r="GC18" s="250"/>
      <c r="GD18" s="250"/>
      <c r="GE18" s="250"/>
      <c r="GF18" s="250"/>
      <c r="GG18" s="250"/>
      <c r="GH18" s="250"/>
      <c r="GI18" s="250"/>
      <c r="GJ18" s="250"/>
      <c r="GK18" s="250"/>
      <c r="GL18" s="566">
        <f t="shared" si="36"/>
        <v>0</v>
      </c>
      <c r="GM18" s="250"/>
      <c r="GN18" s="537">
        <f>GN17-5</f>
        <v>50</v>
      </c>
      <c r="GO18" s="537">
        <f t="shared" si="15"/>
        <v>70</v>
      </c>
      <c r="GP18" s="250"/>
      <c r="GQ18" s="250"/>
      <c r="GR18" s="250"/>
      <c r="GS18" s="250"/>
      <c r="GT18" s="250"/>
      <c r="GU18" s="250"/>
      <c r="GV18" s="250"/>
      <c r="GW18" s="250"/>
      <c r="GX18" s="250"/>
      <c r="GY18" s="250"/>
      <c r="GZ18" s="250"/>
      <c r="HA18" s="250"/>
      <c r="HB18" s="250"/>
      <c r="HC18" s="250"/>
      <c r="HD18" s="250"/>
      <c r="HE18" s="250"/>
      <c r="HF18" s="250"/>
      <c r="HG18" s="250"/>
      <c r="HH18" s="250"/>
      <c r="HI18" s="250"/>
      <c r="HJ18" s="250"/>
      <c r="HK18" s="250"/>
      <c r="HL18" s="250"/>
      <c r="HM18" s="250"/>
      <c r="HN18" s="250"/>
      <c r="HO18" s="250"/>
      <c r="HP18" s="250"/>
      <c r="HQ18" s="250"/>
      <c r="HR18" s="250"/>
      <c r="HS18" s="250"/>
      <c r="HT18" s="250"/>
      <c r="HU18" s="250"/>
      <c r="HV18" s="250"/>
      <c r="HW18" s="250"/>
      <c r="HX18" s="250"/>
      <c r="HY18" s="250"/>
      <c r="HZ18" s="250"/>
      <c r="IA18" s="250"/>
      <c r="IB18" s="250"/>
      <c r="IC18" s="250"/>
      <c r="ID18" s="250"/>
      <c r="IE18" s="250"/>
      <c r="IF18" s="250"/>
      <c r="IG18" s="250"/>
      <c r="IH18" s="250"/>
      <c r="II18" s="250"/>
      <c r="IJ18" s="250"/>
      <c r="IK18" s="250"/>
      <c r="IL18" s="250"/>
      <c r="IM18" s="251"/>
      <c r="IN18" s="251"/>
      <c r="IO18" s="251"/>
      <c r="IP18" s="251"/>
      <c r="IQ18" s="251"/>
      <c r="IR18" s="259"/>
      <c r="IS18" s="259"/>
      <c r="IT18" s="259"/>
      <c r="IU18" s="259"/>
      <c r="IV18" s="259"/>
      <c r="IW18" s="259"/>
      <c r="IX18" s="259"/>
      <c r="IY18" s="260"/>
      <c r="IZ18" s="259"/>
      <c r="JA18" s="259"/>
      <c r="JB18" s="259"/>
      <c r="JC18" s="260"/>
      <c r="JD18" s="259"/>
      <c r="JE18" s="259"/>
      <c r="JF18" s="259"/>
      <c r="JG18" s="260"/>
      <c r="JH18" s="259"/>
      <c r="JI18" s="259"/>
      <c r="JJ18" s="259"/>
      <c r="JK18" s="260"/>
      <c r="JL18" s="259"/>
      <c r="JM18" s="259"/>
      <c r="JN18" s="259"/>
      <c r="JO18" s="260"/>
      <c r="JP18" s="259"/>
      <c r="JQ18" s="259"/>
      <c r="JR18" s="259"/>
      <c r="JS18" s="251"/>
      <c r="JT18" s="251"/>
      <c r="JU18" s="251"/>
      <c r="JV18" s="251"/>
      <c r="JW18" s="251"/>
      <c r="JX18" s="251"/>
      <c r="JY18" s="251"/>
      <c r="JZ18" s="251"/>
      <c r="KA18" s="251"/>
      <c r="KB18" s="251"/>
      <c r="KC18" s="251"/>
      <c r="KD18" s="251"/>
      <c r="KE18" s="251"/>
      <c r="KF18" s="251"/>
      <c r="KG18" s="251"/>
      <c r="KH18" s="251"/>
      <c r="KI18" s="251"/>
      <c r="KJ18" s="261"/>
      <c r="KK18" s="251"/>
    </row>
    <row r="19" spans="1:368" ht="19.899999999999999" customHeight="1" x14ac:dyDescent="0.25">
      <c r="S19" s="653"/>
      <c r="T19" s="675"/>
      <c r="U19" s="1544" t="s">
        <v>1135</v>
      </c>
      <c r="V19" s="1544"/>
      <c r="W19" s="1544"/>
      <c r="X19" s="1544"/>
      <c r="Y19" s="1544"/>
      <c r="Z19" s="1544"/>
      <c r="AA19" s="1544"/>
      <c r="AB19" s="1544"/>
      <c r="AC19" s="1544"/>
      <c r="AD19" s="1544"/>
      <c r="AE19" s="1544"/>
      <c r="AF19" s="1544"/>
      <c r="AG19" s="1544"/>
      <c r="AH19" s="1544"/>
      <c r="AI19" s="1544"/>
      <c r="AJ19" s="1544"/>
      <c r="AK19" s="1544"/>
      <c r="AL19" s="1544"/>
      <c r="AM19" s="1544"/>
      <c r="AN19" s="1138"/>
      <c r="AO19" s="676"/>
      <c r="AP19" s="709"/>
      <c r="AQ19" s="709"/>
      <c r="AR19" s="709"/>
      <c r="AS19" s="709"/>
      <c r="AT19" s="709"/>
      <c r="AU19" s="724"/>
      <c r="AV19" s="719"/>
      <c r="AW19" s="653"/>
      <c r="AX19" s="1122">
        <f t="shared" si="38"/>
        <v>5</v>
      </c>
      <c r="AY19" s="551" t="str">
        <f t="shared" si="18"/>
        <v/>
      </c>
      <c r="AZ19" s="552">
        <f t="shared" si="20"/>
        <v>0</v>
      </c>
      <c r="BA19" s="557">
        <f t="shared" si="21"/>
        <v>0</v>
      </c>
      <c r="BB19" s="554" t="str">
        <f t="shared" si="22"/>
        <v xml:space="preserve"> </v>
      </c>
      <c r="BC19" s="547"/>
      <c r="BD19" s="555" t="str">
        <f t="shared" si="19"/>
        <v/>
      </c>
      <c r="BE19" s="552">
        <f t="shared" si="23"/>
        <v>0</v>
      </c>
      <c r="BF19" s="557">
        <f t="shared" si="24"/>
        <v>0</v>
      </c>
      <c r="BG19" s="554" t="str">
        <f t="shared" si="25"/>
        <v xml:space="preserve"> </v>
      </c>
      <c r="BH19" s="547"/>
      <c r="BI19" s="555" t="str">
        <f t="shared" si="26"/>
        <v/>
      </c>
      <c r="BJ19" s="552">
        <f t="shared" si="27"/>
        <v>0</v>
      </c>
      <c r="BK19" s="557">
        <f t="shared" si="28"/>
        <v>0</v>
      </c>
      <c r="BL19" s="554" t="str">
        <f t="shared" si="29"/>
        <v xml:space="preserve"> </v>
      </c>
      <c r="BO19" s="537"/>
      <c r="BS19" s="537"/>
      <c r="BT19" s="537"/>
      <c r="BU19" s="537"/>
      <c r="BV19" s="537"/>
      <c r="BW19" s="537"/>
      <c r="BX19" s="537"/>
      <c r="BY19" s="537"/>
      <c r="BZ19" s="537"/>
      <c r="CA19" s="537"/>
      <c r="CB19" s="566">
        <f t="shared" si="37"/>
        <v>0</v>
      </c>
      <c r="CC19" s="537"/>
      <c r="CD19" s="537">
        <f t="shared" si="34"/>
        <v>90</v>
      </c>
      <c r="CE19" s="537">
        <f t="shared" si="30"/>
        <v>30</v>
      </c>
      <c r="CF19" s="537"/>
      <c r="CG19" s="537"/>
      <c r="CH19" s="537"/>
      <c r="CI19" s="537"/>
      <c r="CL19" s="537"/>
      <c r="CM19" s="250"/>
      <c r="CN19" s="250"/>
      <c r="CO19" s="250"/>
      <c r="CP19" s="250"/>
      <c r="CQ19" s="250"/>
      <c r="CR19" s="250"/>
      <c r="CS19" s="250"/>
      <c r="CT19" s="250"/>
      <c r="CU19" s="250"/>
      <c r="CV19" s="250"/>
      <c r="CW19" s="250"/>
      <c r="CX19" s="250"/>
      <c r="CY19" s="250"/>
      <c r="CZ19" s="250"/>
      <c r="DA19" s="250"/>
      <c r="DB19" s="250"/>
      <c r="DC19" s="250"/>
      <c r="DD19" s="250"/>
      <c r="DE19" s="250"/>
      <c r="DF19" s="250"/>
      <c r="DG19" s="250"/>
      <c r="DH19" s="250"/>
      <c r="DI19" s="250"/>
      <c r="DJ19" s="250"/>
      <c r="DK19" s="250"/>
      <c r="DL19" s="250"/>
      <c r="DM19" s="250"/>
      <c r="DN19" s="250"/>
      <c r="DO19" s="250"/>
      <c r="DP19" s="250"/>
      <c r="DQ19" s="250"/>
      <c r="DR19" s="250"/>
      <c r="DS19" s="566">
        <f t="shared" si="35"/>
        <v>0</v>
      </c>
      <c r="DU19" s="537">
        <f t="shared" ref="DU19" si="39">DU18-5</f>
        <v>45</v>
      </c>
      <c r="DV19" s="537">
        <f t="shared" ref="DV19" si="40">$CD$13-DU19</f>
        <v>75</v>
      </c>
      <c r="DW19" s="537"/>
      <c r="DX19" s="250"/>
      <c r="DY19" s="250"/>
      <c r="DZ19" s="250"/>
      <c r="EA19" s="250"/>
      <c r="EB19" s="351">
        <f t="shared" si="31"/>
        <v>0</v>
      </c>
      <c r="EC19" s="351" t="str">
        <f t="shared" si="32"/>
        <v>X</v>
      </c>
      <c r="ED19" s="352" t="str">
        <f t="shared" si="33"/>
        <v>X</v>
      </c>
      <c r="EE19" s="78">
        <f t="shared" si="11"/>
        <v>18</v>
      </c>
      <c r="EF19" s="78" t="e">
        <f t="shared" si="3"/>
        <v>#NUM!</v>
      </c>
      <c r="EG19" s="540" t="e">
        <f t="shared" si="4"/>
        <v>#NUM!</v>
      </c>
      <c r="EH19" s="632" t="e">
        <f t="shared" si="12"/>
        <v>#NUM!</v>
      </c>
      <c r="EI19" s="646" t="e">
        <f t="shared" si="6"/>
        <v>#NUM!</v>
      </c>
      <c r="EJ19" s="544">
        <f t="shared" si="7"/>
        <v>0</v>
      </c>
      <c r="EK19" s="540">
        <f t="shared" si="8"/>
        <v>0</v>
      </c>
      <c r="EL19" s="544" t="e">
        <f t="shared" si="5"/>
        <v>#NUM!</v>
      </c>
      <c r="EM19" s="218">
        <f t="shared" si="9"/>
        <v>0</v>
      </c>
      <c r="EN19" s="250"/>
      <c r="EP19" s="250"/>
      <c r="EQ19" s="250"/>
      <c r="ER19" s="250"/>
      <c r="ES19" s="250"/>
      <c r="ET19" s="250"/>
      <c r="EU19" s="250"/>
      <c r="EV19" s="250"/>
      <c r="EW19" s="250"/>
      <c r="EX19" s="250"/>
      <c r="EY19" s="250"/>
      <c r="EZ19" s="250"/>
      <c r="FA19" s="250"/>
      <c r="FB19" s="250"/>
      <c r="FC19" s="250"/>
      <c r="FD19" s="250"/>
      <c r="FE19" s="250"/>
      <c r="FF19" s="250"/>
      <c r="FG19" s="250"/>
      <c r="FH19" s="250"/>
      <c r="FI19" s="250"/>
      <c r="FJ19" s="250"/>
      <c r="FK19" s="250"/>
      <c r="FL19" s="250"/>
      <c r="FM19" s="250"/>
      <c r="FN19" s="250"/>
      <c r="FO19" s="250"/>
      <c r="FP19" s="250"/>
      <c r="FQ19" s="250"/>
      <c r="FR19" s="250"/>
      <c r="FS19" s="250"/>
      <c r="FT19" s="250"/>
      <c r="FU19" s="250"/>
      <c r="FV19" s="250"/>
      <c r="FW19" s="250"/>
      <c r="FX19" s="250"/>
      <c r="FY19" s="250"/>
      <c r="FZ19" s="250"/>
      <c r="GA19" s="250"/>
      <c r="GB19" s="250"/>
      <c r="GC19" s="250"/>
      <c r="GD19" s="250"/>
      <c r="GE19" s="250"/>
      <c r="GF19" s="250"/>
      <c r="GG19" s="250"/>
      <c r="GH19" s="250"/>
      <c r="GI19" s="250"/>
      <c r="GJ19" s="250"/>
      <c r="GK19" s="250"/>
      <c r="GL19" s="566">
        <f t="shared" si="36"/>
        <v>0</v>
      </c>
      <c r="GM19" s="250"/>
      <c r="GN19" s="537">
        <f t="shared" si="17"/>
        <v>45</v>
      </c>
      <c r="GO19" s="537">
        <f t="shared" ref="GO19" si="41">$CD$13-GN19</f>
        <v>75</v>
      </c>
      <c r="GP19" s="250"/>
      <c r="GQ19" s="250"/>
      <c r="GR19" s="250"/>
      <c r="GS19" s="250"/>
      <c r="GT19" s="250"/>
      <c r="GU19" s="250"/>
      <c r="GV19" s="250"/>
      <c r="GW19" s="250"/>
      <c r="GX19" s="250"/>
      <c r="GY19" s="250"/>
      <c r="GZ19" s="250"/>
      <c r="HA19" s="250"/>
      <c r="HB19" s="250"/>
      <c r="HC19" s="250"/>
      <c r="HD19" s="250"/>
      <c r="HE19" s="250"/>
      <c r="HF19" s="250"/>
      <c r="HG19" s="250"/>
      <c r="HH19" s="250"/>
      <c r="HI19" s="250"/>
      <c r="HJ19" s="250"/>
      <c r="HK19" s="250"/>
      <c r="HL19" s="250"/>
      <c r="HM19" s="250"/>
      <c r="HN19" s="250"/>
      <c r="HO19" s="250"/>
      <c r="HP19" s="250"/>
      <c r="HQ19" s="250"/>
      <c r="HR19" s="250"/>
      <c r="HS19" s="250"/>
      <c r="HT19" s="250"/>
      <c r="HU19" s="250"/>
      <c r="HV19" s="250"/>
      <c r="HW19" s="250"/>
      <c r="HX19" s="250"/>
      <c r="HY19" s="250"/>
      <c r="HZ19" s="250"/>
      <c r="IA19" s="250"/>
      <c r="IB19" s="250"/>
      <c r="IC19" s="250"/>
      <c r="ID19" s="250"/>
      <c r="IE19" s="250"/>
      <c r="IF19" s="250"/>
      <c r="IG19" s="250"/>
      <c r="IH19" s="250"/>
      <c r="II19" s="250"/>
      <c r="IJ19" s="250"/>
      <c r="IK19" s="250"/>
      <c r="IL19" s="250"/>
      <c r="IM19" s="251"/>
      <c r="IN19" s="251"/>
      <c r="IO19" s="251"/>
      <c r="IP19" s="251"/>
      <c r="IQ19" s="251"/>
      <c r="IR19" s="259"/>
      <c r="IS19" s="259"/>
      <c r="IT19" s="259"/>
      <c r="IU19" s="259"/>
      <c r="IV19" s="259"/>
      <c r="IW19" s="259"/>
      <c r="IX19" s="259"/>
      <c r="IY19" s="260"/>
      <c r="IZ19" s="259"/>
      <c r="JA19" s="259"/>
      <c r="JB19" s="259"/>
      <c r="JC19" s="260"/>
      <c r="JD19" s="259"/>
      <c r="JE19" s="259"/>
      <c r="JF19" s="259"/>
      <c r="JG19" s="260"/>
      <c r="JH19" s="259"/>
      <c r="JI19" s="259"/>
      <c r="JJ19" s="259"/>
      <c r="JK19" s="260"/>
      <c r="JL19" s="259"/>
      <c r="JM19" s="259"/>
      <c r="JN19" s="259"/>
      <c r="JO19" s="260"/>
      <c r="JP19" s="259"/>
      <c r="JQ19" s="259"/>
      <c r="JR19" s="259"/>
      <c r="JS19" s="251"/>
      <c r="JT19" s="251"/>
      <c r="JU19" s="251"/>
      <c r="JV19" s="251"/>
      <c r="JW19" s="251"/>
      <c r="JX19" s="251"/>
      <c r="JY19" s="251"/>
      <c r="JZ19" s="251"/>
      <c r="KA19" s="251"/>
      <c r="KB19" s="251"/>
      <c r="KC19" s="251"/>
      <c r="KD19" s="251"/>
      <c r="KE19" s="251"/>
      <c r="KF19" s="251"/>
      <c r="KG19" s="251"/>
      <c r="KH19" s="251"/>
      <c r="KI19" s="251"/>
      <c r="KJ19" s="261"/>
      <c r="KK19" s="251"/>
    </row>
    <row r="20" spans="1:368" s="544" customFormat="1" ht="19.899999999999999" customHeight="1" x14ac:dyDescent="0.25">
      <c r="A20" s="81"/>
      <c r="B20" s="81"/>
      <c r="C20" s="81"/>
      <c r="D20" s="81"/>
      <c r="E20" s="81"/>
      <c r="F20" s="81"/>
      <c r="G20" s="81"/>
      <c r="H20" s="81"/>
      <c r="I20" s="81"/>
      <c r="J20" s="81"/>
      <c r="K20" s="81"/>
      <c r="L20" s="81"/>
      <c r="M20" s="81"/>
      <c r="N20" s="81"/>
      <c r="O20" s="81"/>
      <c r="P20" s="81"/>
      <c r="Q20" s="81"/>
      <c r="S20" s="653"/>
      <c r="T20" s="675"/>
      <c r="U20" s="1544"/>
      <c r="V20" s="1544"/>
      <c r="W20" s="1544"/>
      <c r="X20" s="1544"/>
      <c r="Y20" s="1544"/>
      <c r="Z20" s="1544"/>
      <c r="AA20" s="1544"/>
      <c r="AB20" s="1544"/>
      <c r="AC20" s="1544"/>
      <c r="AD20" s="1544"/>
      <c r="AE20" s="1544"/>
      <c r="AF20" s="1544"/>
      <c r="AG20" s="1544"/>
      <c r="AH20" s="1544"/>
      <c r="AI20" s="1544"/>
      <c r="AJ20" s="1544"/>
      <c r="AK20" s="1544"/>
      <c r="AL20" s="1544"/>
      <c r="AM20" s="1544"/>
      <c r="AN20" s="724"/>
      <c r="AO20" s="676"/>
      <c r="AP20" s="709"/>
      <c r="AQ20" s="709"/>
      <c r="AR20" s="709"/>
      <c r="AS20" s="709"/>
      <c r="AT20" s="709"/>
      <c r="AU20" s="724"/>
      <c r="AV20" s="719"/>
      <c r="AW20" s="653"/>
      <c r="AX20" s="1122">
        <f t="shared" si="38"/>
        <v>6</v>
      </c>
      <c r="AY20" s="551" t="str">
        <f t="shared" si="18"/>
        <v/>
      </c>
      <c r="AZ20" s="552">
        <f t="shared" si="20"/>
        <v>0</v>
      </c>
      <c r="BA20" s="557">
        <f t="shared" si="21"/>
        <v>0</v>
      </c>
      <c r="BB20" s="554" t="str">
        <f t="shared" si="22"/>
        <v xml:space="preserve"> </v>
      </c>
      <c r="BC20" s="547"/>
      <c r="BD20" s="555" t="str">
        <f t="shared" si="19"/>
        <v/>
      </c>
      <c r="BE20" s="552">
        <f t="shared" si="23"/>
        <v>0</v>
      </c>
      <c r="BF20" s="557">
        <f t="shared" si="24"/>
        <v>0</v>
      </c>
      <c r="BG20" s="554" t="str">
        <f t="shared" si="25"/>
        <v xml:space="preserve"> </v>
      </c>
      <c r="BH20" s="547"/>
      <c r="BI20" s="555" t="str">
        <f t="shared" si="26"/>
        <v/>
      </c>
      <c r="BJ20" s="552">
        <f t="shared" si="27"/>
        <v>0</v>
      </c>
      <c r="BK20" s="557">
        <f t="shared" si="28"/>
        <v>0</v>
      </c>
      <c r="BL20" s="554" t="str">
        <f t="shared" si="29"/>
        <v xml:space="preserve"> </v>
      </c>
      <c r="BM20" s="78"/>
      <c r="BN20" s="78"/>
      <c r="BO20" s="619"/>
      <c r="BP20" s="78"/>
      <c r="BQ20" s="78"/>
      <c r="BR20" s="78"/>
      <c r="BS20" s="619"/>
      <c r="BT20" s="619"/>
      <c r="BU20" s="619"/>
      <c r="BV20" s="619"/>
      <c r="BW20" s="619"/>
      <c r="BX20" s="619"/>
      <c r="BY20" s="619"/>
      <c r="BZ20" s="619"/>
      <c r="CA20" s="619"/>
      <c r="CB20" s="566">
        <f t="shared" ref="CB20:CB24" si="42">ROUNDDOWN(BA20,0)</f>
        <v>0</v>
      </c>
      <c r="CC20" s="537"/>
      <c r="CD20" s="537">
        <f t="shared" ref="CD20:CD29" si="43">CD19-5</f>
        <v>85</v>
      </c>
      <c r="CE20" s="537">
        <f t="shared" ref="CE20:CE29" si="44">$CD$13-CD20</f>
        <v>35</v>
      </c>
      <c r="CF20" s="619"/>
      <c r="CG20" s="619"/>
      <c r="CH20" s="619"/>
      <c r="CI20" s="619"/>
      <c r="CJ20" s="78"/>
      <c r="CK20" s="78"/>
      <c r="CL20" s="619"/>
      <c r="CM20" s="250"/>
      <c r="CN20" s="250"/>
      <c r="CO20" s="250"/>
      <c r="CP20" s="250"/>
      <c r="CQ20" s="250"/>
      <c r="CR20" s="250"/>
      <c r="CS20" s="250"/>
      <c r="CT20" s="250"/>
      <c r="CU20" s="250"/>
      <c r="CV20" s="250"/>
      <c r="CW20" s="250"/>
      <c r="CX20" s="250"/>
      <c r="CY20" s="250"/>
      <c r="CZ20" s="250"/>
      <c r="DA20" s="250"/>
      <c r="DB20" s="250"/>
      <c r="DC20" s="250"/>
      <c r="DD20" s="250"/>
      <c r="DE20" s="250"/>
      <c r="DF20" s="250"/>
      <c r="DG20" s="250"/>
      <c r="DH20" s="250"/>
      <c r="DI20" s="250"/>
      <c r="DJ20" s="250"/>
      <c r="DK20" s="250"/>
      <c r="DL20" s="250"/>
      <c r="DM20" s="250"/>
      <c r="DN20" s="250"/>
      <c r="DO20" s="250"/>
      <c r="DP20" s="250"/>
      <c r="DQ20" s="250"/>
      <c r="DR20" s="250"/>
      <c r="DS20" s="566">
        <f t="shared" ref="DS20:DS24" si="45">ROUNDDOWN(BF20,0)</f>
        <v>0</v>
      </c>
      <c r="DT20" s="78"/>
      <c r="DU20" s="583">
        <f>DU19-5</f>
        <v>40</v>
      </c>
      <c r="DV20" s="562">
        <f t="shared" ref="DV20:DV24" si="46">$CD$13-DU20</f>
        <v>80</v>
      </c>
      <c r="DW20" s="537">
        <v>7</v>
      </c>
      <c r="DX20" s="250"/>
      <c r="DY20" s="250"/>
      <c r="DZ20" s="250"/>
      <c r="EA20" s="250"/>
      <c r="EB20" s="351">
        <f t="shared" si="31"/>
        <v>0</v>
      </c>
      <c r="EC20" s="351" t="str">
        <f t="shared" si="32"/>
        <v>X</v>
      </c>
      <c r="ED20" s="352" t="str">
        <f t="shared" si="33"/>
        <v>X</v>
      </c>
      <c r="EE20" s="78">
        <f t="shared" ref="EE20:EE24" si="47">EE19+1</f>
        <v>19</v>
      </c>
      <c r="EF20" s="78" t="e">
        <f t="shared" si="3"/>
        <v>#NUM!</v>
      </c>
      <c r="EG20" s="540" t="e">
        <f t="shared" si="4"/>
        <v>#NUM!</v>
      </c>
      <c r="EH20" s="632" t="e">
        <f t="shared" ref="EH20:EH24" si="48">EH19+EG20</f>
        <v>#NUM!</v>
      </c>
      <c r="EI20" s="646" t="e">
        <f t="shared" ref="EI20:EI24" si="49">ROUNDDOWN(EF20,0)</f>
        <v>#NUM!</v>
      </c>
      <c r="EJ20" s="544">
        <f t="shared" ref="EJ20:EJ24" si="50">COUNT(EF20)</f>
        <v>0</v>
      </c>
      <c r="EK20" s="540">
        <f t="shared" ref="EK20:EK24" si="51">IF(EJ20=1,EG20*EI20,0)</f>
        <v>0</v>
      </c>
      <c r="EL20" s="544" t="e">
        <f t="shared" ref="EL20:EL24" si="52">IF(EH20&lt;=$EL$1,(EG20*EI20),0)</f>
        <v>#NUM!</v>
      </c>
      <c r="EM20" s="218">
        <f t="shared" ref="EM20:EM24" si="53">IF(EJ20=1,EL20,0)</f>
        <v>0</v>
      </c>
      <c r="EN20" s="250"/>
      <c r="EO20" s="78"/>
      <c r="EP20" s="250"/>
      <c r="EQ20" s="250"/>
      <c r="ER20" s="250"/>
      <c r="ES20" s="250"/>
      <c r="ET20" s="250"/>
      <c r="EU20" s="250"/>
      <c r="EV20" s="250"/>
      <c r="EW20" s="250"/>
      <c r="EX20" s="250"/>
      <c r="EY20" s="250"/>
      <c r="EZ20" s="250"/>
      <c r="FA20" s="250"/>
      <c r="FB20" s="250"/>
      <c r="FC20" s="250"/>
      <c r="FD20" s="250"/>
      <c r="FE20" s="250"/>
      <c r="FF20" s="250"/>
      <c r="FG20" s="250"/>
      <c r="FH20" s="250"/>
      <c r="FI20" s="250"/>
      <c r="FJ20" s="250"/>
      <c r="FK20" s="250"/>
      <c r="FL20" s="250"/>
      <c r="FM20" s="250"/>
      <c r="FN20" s="250"/>
      <c r="FO20" s="250"/>
      <c r="FP20" s="250"/>
      <c r="FQ20" s="250"/>
      <c r="FR20" s="250"/>
      <c r="FS20" s="250"/>
      <c r="FT20" s="250"/>
      <c r="FU20" s="250"/>
      <c r="FV20" s="250"/>
      <c r="FW20" s="250"/>
      <c r="FX20" s="250"/>
      <c r="FY20" s="250"/>
      <c r="FZ20" s="250"/>
      <c r="GA20" s="250"/>
      <c r="GB20" s="250"/>
      <c r="GC20" s="250"/>
      <c r="GD20" s="250"/>
      <c r="GE20" s="250"/>
      <c r="GF20" s="250"/>
      <c r="GG20" s="250"/>
      <c r="GH20" s="250"/>
      <c r="GI20" s="250"/>
      <c r="GJ20" s="250"/>
      <c r="GK20" s="250"/>
      <c r="GL20" s="566">
        <f t="shared" ref="GL20:GL24" si="54">ROUNDDOWN(BK20,0)</f>
        <v>0</v>
      </c>
      <c r="GM20" s="250"/>
      <c r="GN20" s="537">
        <f t="shared" ref="GN20:GN24" si="55">GN19-5</f>
        <v>40</v>
      </c>
      <c r="GO20" s="537">
        <f t="shared" ref="GO20:GO24" si="56">$CD$13-GN20</f>
        <v>80</v>
      </c>
      <c r="GP20" s="250"/>
      <c r="GQ20" s="250"/>
      <c r="GR20" s="250"/>
      <c r="GS20" s="250"/>
      <c r="GT20" s="250"/>
      <c r="GU20" s="250"/>
      <c r="GV20" s="250"/>
      <c r="GW20" s="250"/>
      <c r="GX20" s="250"/>
      <c r="GY20" s="250"/>
      <c r="GZ20" s="250"/>
      <c r="HA20" s="250"/>
      <c r="HB20" s="250"/>
      <c r="HC20" s="250"/>
      <c r="HD20" s="250"/>
      <c r="HE20" s="250"/>
      <c r="HF20" s="250"/>
      <c r="HG20" s="250"/>
      <c r="HH20" s="250"/>
      <c r="HI20" s="250"/>
      <c r="HJ20" s="250"/>
      <c r="HK20" s="250"/>
      <c r="HL20" s="250"/>
      <c r="HM20" s="250"/>
      <c r="HN20" s="250"/>
      <c r="HO20" s="250"/>
      <c r="HP20" s="250"/>
      <c r="HQ20" s="250"/>
      <c r="HR20" s="250"/>
      <c r="HS20" s="250"/>
      <c r="HT20" s="250"/>
      <c r="HU20" s="250"/>
      <c r="HV20" s="250"/>
      <c r="HW20" s="250"/>
      <c r="HX20" s="250"/>
      <c r="HY20" s="250"/>
      <c r="HZ20" s="250"/>
      <c r="IA20" s="250"/>
      <c r="IB20" s="250"/>
      <c r="IC20" s="250"/>
      <c r="ID20" s="250"/>
      <c r="IE20" s="250"/>
      <c r="IF20" s="250"/>
      <c r="IG20" s="250"/>
      <c r="IH20" s="250"/>
      <c r="II20" s="250"/>
      <c r="IJ20" s="250"/>
      <c r="IK20" s="250"/>
      <c r="IL20" s="250"/>
      <c r="IM20" s="619"/>
      <c r="IN20" s="619"/>
      <c r="IO20" s="619"/>
      <c r="IP20" s="619"/>
      <c r="IQ20" s="619"/>
      <c r="IR20" s="259"/>
      <c r="IS20" s="259"/>
      <c r="IT20" s="259"/>
      <c r="IU20" s="259"/>
      <c r="IV20" s="259"/>
      <c r="IW20" s="259"/>
      <c r="IX20" s="259"/>
      <c r="IY20" s="260"/>
      <c r="IZ20" s="259"/>
      <c r="JA20" s="259"/>
      <c r="JB20" s="259"/>
      <c r="JC20" s="260"/>
      <c r="JD20" s="259"/>
      <c r="JE20" s="259"/>
      <c r="JF20" s="259"/>
      <c r="JG20" s="260"/>
      <c r="JH20" s="259"/>
      <c r="JI20" s="259"/>
      <c r="JJ20" s="259"/>
      <c r="JK20" s="260"/>
      <c r="JL20" s="259"/>
      <c r="JM20" s="259"/>
      <c r="JN20" s="259"/>
      <c r="JO20" s="260"/>
      <c r="JP20" s="259"/>
      <c r="JQ20" s="259"/>
      <c r="JR20" s="259"/>
      <c r="JS20" s="619"/>
      <c r="JT20" s="619"/>
      <c r="JU20" s="619"/>
      <c r="JV20" s="619"/>
      <c r="JW20" s="619"/>
      <c r="JX20" s="619"/>
      <c r="JY20" s="619"/>
      <c r="JZ20" s="619"/>
      <c r="KA20" s="619"/>
      <c r="KB20" s="619"/>
      <c r="KC20" s="619"/>
      <c r="KD20" s="619"/>
      <c r="KE20" s="619"/>
      <c r="KF20" s="619"/>
      <c r="KG20" s="619"/>
      <c r="KH20" s="619"/>
      <c r="KI20" s="619"/>
      <c r="KJ20" s="261"/>
      <c r="KK20" s="619"/>
      <c r="KM20" s="81"/>
      <c r="KN20" s="81"/>
      <c r="KO20" s="81"/>
      <c r="KP20" s="81"/>
      <c r="KQ20" s="81"/>
      <c r="KR20" s="81"/>
      <c r="KS20" s="81"/>
      <c r="KT20" s="81"/>
      <c r="KU20" s="81"/>
      <c r="ND20" s="472"/>
    </row>
    <row r="21" spans="1:368" ht="19.899999999999999" hidden="1" customHeight="1" x14ac:dyDescent="0.25">
      <c r="S21" s="653"/>
      <c r="T21" s="675"/>
      <c r="U21" s="724"/>
      <c r="V21" s="724"/>
      <c r="W21" s="724"/>
      <c r="X21" s="724"/>
      <c r="Y21" s="724"/>
      <c r="Z21" s="724"/>
      <c r="AA21" s="724"/>
      <c r="AB21" s="724"/>
      <c r="AC21" s="724"/>
      <c r="AD21" s="724"/>
      <c r="AE21" s="724"/>
      <c r="AF21" s="724"/>
      <c r="AG21" s="724"/>
      <c r="AH21" s="724"/>
      <c r="AI21" s="724"/>
      <c r="AJ21" s="724"/>
      <c r="AK21" s="724"/>
      <c r="AL21" s="724"/>
      <c r="AM21" s="724"/>
      <c r="AN21" s="724"/>
      <c r="AO21" s="676"/>
      <c r="AP21" s="709"/>
      <c r="AQ21" s="709"/>
      <c r="AR21" s="709"/>
      <c r="AS21" s="709"/>
      <c r="AT21" s="709"/>
      <c r="AU21" s="724"/>
      <c r="AV21" s="719"/>
      <c r="AW21" s="653"/>
      <c r="AX21" s="1122">
        <f t="shared" si="38"/>
        <v>7</v>
      </c>
      <c r="AY21" s="551" t="str">
        <f t="shared" si="18"/>
        <v/>
      </c>
      <c r="AZ21" s="558">
        <f t="shared" si="20"/>
        <v>0</v>
      </c>
      <c r="BA21" s="559">
        <f t="shared" si="21"/>
        <v>0</v>
      </c>
      <c r="BB21" s="554" t="str">
        <f t="shared" si="22"/>
        <v xml:space="preserve"> </v>
      </c>
      <c r="BC21" s="547"/>
      <c r="BD21" s="555" t="str">
        <f t="shared" si="19"/>
        <v/>
      </c>
      <c r="BE21" s="558">
        <f t="shared" si="23"/>
        <v>0</v>
      </c>
      <c r="BF21" s="559">
        <f t="shared" si="24"/>
        <v>0</v>
      </c>
      <c r="BG21" s="554" t="str">
        <f>AG41</f>
        <v xml:space="preserve"> </v>
      </c>
      <c r="BH21" s="547"/>
      <c r="BI21" s="555" t="str">
        <f t="shared" si="26"/>
        <v/>
      </c>
      <c r="BJ21" s="558">
        <f t="shared" si="27"/>
        <v>0</v>
      </c>
      <c r="BK21" s="559">
        <f t="shared" si="28"/>
        <v>0</v>
      </c>
      <c r="BL21" s="560" t="str">
        <f t="shared" si="29"/>
        <v xml:space="preserve"> </v>
      </c>
      <c r="BO21" s="537"/>
      <c r="BS21" s="537"/>
      <c r="BT21" s="537"/>
      <c r="BU21" s="537"/>
      <c r="BV21" s="537"/>
      <c r="BW21" s="537"/>
      <c r="BX21" s="537"/>
      <c r="BY21" s="537"/>
      <c r="BZ21" s="537"/>
      <c r="CA21" s="537"/>
      <c r="CB21" s="566">
        <f t="shared" si="42"/>
        <v>0</v>
      </c>
      <c r="CC21" s="537"/>
      <c r="CD21" s="581">
        <f t="shared" si="43"/>
        <v>80</v>
      </c>
      <c r="CE21" s="563">
        <f t="shared" si="44"/>
        <v>40</v>
      </c>
      <c r="CF21" s="537"/>
      <c r="CG21" s="537"/>
      <c r="CH21" s="537"/>
      <c r="CI21" s="537"/>
      <c r="CL21" s="537"/>
      <c r="CM21" s="250"/>
      <c r="CN21" s="250"/>
      <c r="CO21" s="250"/>
      <c r="CP21" s="250"/>
      <c r="CQ21" s="250"/>
      <c r="CR21" s="250"/>
      <c r="CS21" s="250"/>
      <c r="CT21" s="250"/>
      <c r="CU21" s="250"/>
      <c r="CV21" s="250"/>
      <c r="CW21" s="250"/>
      <c r="CX21" s="250"/>
      <c r="CY21" s="250"/>
      <c r="CZ21" s="250"/>
      <c r="DA21" s="250"/>
      <c r="DB21" s="250"/>
      <c r="DC21" s="250"/>
      <c r="DD21" s="250"/>
      <c r="DE21" s="250"/>
      <c r="DF21" s="250"/>
      <c r="DG21" s="250"/>
      <c r="DH21" s="250"/>
      <c r="DI21" s="250"/>
      <c r="DJ21" s="250"/>
      <c r="DK21" s="250"/>
      <c r="DL21" s="250"/>
      <c r="DM21" s="250"/>
      <c r="DN21" s="250"/>
      <c r="DO21" s="250"/>
      <c r="DP21" s="250"/>
      <c r="DQ21" s="250"/>
      <c r="DR21" s="250"/>
      <c r="DS21" s="566">
        <f t="shared" si="45"/>
        <v>0</v>
      </c>
      <c r="DU21" s="537">
        <f>DU20-5</f>
        <v>35</v>
      </c>
      <c r="DV21" s="537">
        <f t="shared" si="46"/>
        <v>85</v>
      </c>
      <c r="DW21" s="537"/>
      <c r="DX21" s="250"/>
      <c r="DY21" s="250"/>
      <c r="DZ21" s="250"/>
      <c r="EA21" s="250"/>
      <c r="EB21" s="351">
        <f t="shared" si="31"/>
        <v>0</v>
      </c>
      <c r="EC21" s="351" t="str">
        <f t="shared" si="32"/>
        <v>X</v>
      </c>
      <c r="ED21" s="352" t="str">
        <f t="shared" si="33"/>
        <v>X</v>
      </c>
      <c r="EE21" s="78">
        <f t="shared" si="47"/>
        <v>20</v>
      </c>
      <c r="EF21" s="78" t="e">
        <f t="shared" si="3"/>
        <v>#NUM!</v>
      </c>
      <c r="EG21" s="540" t="e">
        <f t="shared" si="4"/>
        <v>#NUM!</v>
      </c>
      <c r="EH21" s="632" t="e">
        <f t="shared" si="48"/>
        <v>#NUM!</v>
      </c>
      <c r="EI21" s="646" t="e">
        <f t="shared" si="49"/>
        <v>#NUM!</v>
      </c>
      <c r="EJ21" s="544">
        <f t="shared" si="50"/>
        <v>0</v>
      </c>
      <c r="EK21" s="540">
        <f t="shared" si="51"/>
        <v>0</v>
      </c>
      <c r="EL21" s="544" t="e">
        <f t="shared" si="52"/>
        <v>#NUM!</v>
      </c>
      <c r="EM21" s="218">
        <f t="shared" si="53"/>
        <v>0</v>
      </c>
      <c r="EN21" s="250"/>
      <c r="EP21" s="250"/>
      <c r="EQ21" s="250"/>
      <c r="ER21" s="250"/>
      <c r="ES21" s="250"/>
      <c r="ET21" s="250"/>
      <c r="EU21" s="250"/>
      <c r="EV21" s="250"/>
      <c r="EW21" s="250"/>
      <c r="EX21" s="250"/>
      <c r="EY21" s="250"/>
      <c r="EZ21" s="250"/>
      <c r="FA21" s="250"/>
      <c r="FB21" s="250"/>
      <c r="FC21" s="250"/>
      <c r="FD21" s="250"/>
      <c r="FE21" s="250"/>
      <c r="FF21" s="250"/>
      <c r="FG21" s="250"/>
      <c r="FH21" s="250"/>
      <c r="FI21" s="250"/>
      <c r="FJ21" s="250"/>
      <c r="FK21" s="250"/>
      <c r="FL21" s="250"/>
      <c r="FM21" s="250"/>
      <c r="FN21" s="250"/>
      <c r="FO21" s="250"/>
      <c r="FP21" s="250"/>
      <c r="FQ21" s="250"/>
      <c r="FR21" s="250"/>
      <c r="FS21" s="250"/>
      <c r="FT21" s="250"/>
      <c r="FU21" s="250"/>
      <c r="FV21" s="250"/>
      <c r="FW21" s="250"/>
      <c r="FX21" s="250"/>
      <c r="FY21" s="250"/>
      <c r="FZ21" s="250"/>
      <c r="GA21" s="250"/>
      <c r="GB21" s="250"/>
      <c r="GC21" s="250"/>
      <c r="GD21" s="250"/>
      <c r="GE21" s="250"/>
      <c r="GF21" s="250"/>
      <c r="GG21" s="250"/>
      <c r="GH21" s="250"/>
      <c r="GI21" s="250"/>
      <c r="GJ21" s="250"/>
      <c r="GK21" s="250"/>
      <c r="GL21" s="566">
        <f t="shared" si="54"/>
        <v>0</v>
      </c>
      <c r="GM21" s="250"/>
      <c r="GN21" s="537">
        <f t="shared" si="55"/>
        <v>35</v>
      </c>
      <c r="GO21" s="537">
        <f t="shared" si="56"/>
        <v>85</v>
      </c>
      <c r="GP21" s="250"/>
      <c r="GQ21" s="250"/>
      <c r="GR21" s="250"/>
      <c r="GS21" s="250"/>
      <c r="GT21" s="250"/>
      <c r="GU21" s="250"/>
      <c r="GV21" s="250"/>
      <c r="GW21" s="250"/>
      <c r="GX21" s="250"/>
      <c r="GY21" s="250"/>
      <c r="GZ21" s="250"/>
      <c r="HA21" s="250"/>
      <c r="HB21" s="250"/>
      <c r="HC21" s="250"/>
      <c r="HD21" s="250"/>
      <c r="HE21" s="250"/>
      <c r="HF21" s="250"/>
      <c r="HG21" s="250"/>
      <c r="HH21" s="250"/>
      <c r="HI21" s="250"/>
      <c r="HJ21" s="250"/>
      <c r="HK21" s="250"/>
      <c r="HL21" s="250"/>
      <c r="HM21" s="250"/>
      <c r="HN21" s="250"/>
      <c r="HO21" s="250"/>
      <c r="HP21" s="250"/>
      <c r="HQ21" s="250"/>
      <c r="HR21" s="250"/>
      <c r="HS21" s="250"/>
      <c r="HT21" s="250"/>
      <c r="HU21" s="250"/>
      <c r="HV21" s="250"/>
      <c r="HW21" s="250"/>
      <c r="HX21" s="250"/>
      <c r="HY21" s="250"/>
      <c r="HZ21" s="250"/>
      <c r="IA21" s="250"/>
      <c r="IB21" s="250"/>
      <c r="IC21" s="250"/>
      <c r="ID21" s="250"/>
      <c r="IE21" s="250"/>
      <c r="IF21" s="250"/>
      <c r="IG21" s="250"/>
      <c r="IH21" s="250"/>
      <c r="II21" s="250"/>
      <c r="IJ21" s="250"/>
      <c r="IK21" s="250"/>
      <c r="IL21" s="250"/>
      <c r="IM21" s="251"/>
      <c r="IN21" s="251"/>
      <c r="IO21" s="251"/>
      <c r="IP21" s="251"/>
      <c r="IQ21" s="251"/>
      <c r="IR21" s="259"/>
      <c r="IS21" s="259"/>
      <c r="IT21" s="259"/>
      <c r="IU21" s="259"/>
      <c r="IV21" s="259"/>
      <c r="IW21" s="259"/>
      <c r="IX21" s="259"/>
      <c r="IY21" s="260"/>
      <c r="IZ21" s="259"/>
      <c r="JA21" s="259"/>
      <c r="JB21" s="259"/>
      <c r="JC21" s="260"/>
      <c r="JD21" s="259"/>
      <c r="JE21" s="259"/>
      <c r="JF21" s="259"/>
      <c r="JG21" s="260"/>
      <c r="JH21" s="259"/>
      <c r="JI21" s="259"/>
      <c r="JJ21" s="259"/>
      <c r="JK21" s="260"/>
      <c r="JL21" s="259"/>
      <c r="JM21" s="259"/>
      <c r="JN21" s="259"/>
      <c r="JO21" s="260"/>
      <c r="JP21" s="259"/>
      <c r="JQ21" s="259"/>
      <c r="JR21" s="259"/>
      <c r="JS21" s="251"/>
      <c r="JT21" s="251"/>
      <c r="JU21" s="251"/>
      <c r="JV21" s="251"/>
      <c r="JW21" s="251"/>
      <c r="JX21" s="251"/>
      <c r="JY21" s="251"/>
      <c r="JZ21" s="251"/>
      <c r="KA21" s="251"/>
      <c r="KB21" s="251"/>
      <c r="KC21" s="251"/>
      <c r="KD21" s="251"/>
      <c r="KE21" s="251"/>
      <c r="KF21" s="251"/>
      <c r="KG21" s="251"/>
      <c r="KH21" s="251"/>
      <c r="KI21" s="251"/>
      <c r="KJ21" s="261"/>
      <c r="KK21" s="251"/>
    </row>
    <row r="22" spans="1:368" ht="19.899999999999999" hidden="1" customHeight="1" x14ac:dyDescent="0.25">
      <c r="S22" s="653"/>
      <c r="T22" s="675"/>
      <c r="U22" s="724"/>
      <c r="V22" s="724"/>
      <c r="W22" s="724"/>
      <c r="X22" s="724"/>
      <c r="Y22" s="724"/>
      <c r="Z22" s="724"/>
      <c r="AA22" s="724"/>
      <c r="AB22" s="724"/>
      <c r="AC22" s="724"/>
      <c r="AD22" s="724"/>
      <c r="AE22" s="724"/>
      <c r="AF22" s="724"/>
      <c r="AG22" s="724"/>
      <c r="AH22" s="724"/>
      <c r="AI22" s="724"/>
      <c r="AJ22" s="724"/>
      <c r="AK22" s="724"/>
      <c r="AL22" s="724"/>
      <c r="AM22" s="724"/>
      <c r="AN22" s="724"/>
      <c r="AO22" s="676"/>
      <c r="AP22" s="709"/>
      <c r="AQ22" s="709"/>
      <c r="AR22" s="709"/>
      <c r="AS22" s="709"/>
      <c r="AT22" s="709"/>
      <c r="AU22" s="724"/>
      <c r="AV22" s="719"/>
      <c r="AW22" s="653"/>
      <c r="AX22" s="1122">
        <f t="shared" si="38"/>
        <v>8</v>
      </c>
      <c r="AY22" s="551" t="str">
        <f t="shared" si="18"/>
        <v/>
      </c>
      <c r="AZ22" s="558">
        <f t="shared" si="20"/>
        <v>0</v>
      </c>
      <c r="BA22" s="559">
        <f t="shared" si="21"/>
        <v>0</v>
      </c>
      <c r="BB22" s="554" t="str">
        <f t="shared" si="22"/>
        <v xml:space="preserve"> </v>
      </c>
      <c r="BC22" s="547"/>
      <c r="BD22" s="555" t="str">
        <f t="shared" si="19"/>
        <v/>
      </c>
      <c r="BE22" s="558">
        <f t="shared" si="23"/>
        <v>0</v>
      </c>
      <c r="BF22" s="559">
        <f t="shared" si="24"/>
        <v>0</v>
      </c>
      <c r="BG22" s="554" t="str">
        <f t="shared" si="25"/>
        <v xml:space="preserve"> </v>
      </c>
      <c r="BH22" s="547"/>
      <c r="BI22" s="555" t="str">
        <f t="shared" si="26"/>
        <v/>
      </c>
      <c r="BJ22" s="558">
        <f t="shared" si="27"/>
        <v>0</v>
      </c>
      <c r="BK22" s="559">
        <f t="shared" si="28"/>
        <v>0</v>
      </c>
      <c r="BL22" s="560" t="str">
        <f t="shared" si="29"/>
        <v xml:space="preserve"> </v>
      </c>
      <c r="BO22" s="537"/>
      <c r="BS22" s="537"/>
      <c r="BT22" s="537"/>
      <c r="BU22" s="537"/>
      <c r="BV22" s="537"/>
      <c r="BW22" s="537"/>
      <c r="BX22" s="537"/>
      <c r="BY22" s="537"/>
      <c r="BZ22" s="537"/>
      <c r="CA22" s="537"/>
      <c r="CB22" s="566">
        <f t="shared" si="42"/>
        <v>0</v>
      </c>
      <c r="CC22" s="537"/>
      <c r="CD22" s="537">
        <f t="shared" si="43"/>
        <v>75</v>
      </c>
      <c r="CE22" s="537">
        <f t="shared" si="44"/>
        <v>45</v>
      </c>
      <c r="CF22" s="537"/>
      <c r="CG22" s="537"/>
      <c r="CH22" s="537"/>
      <c r="CI22" s="537"/>
      <c r="CL22" s="537"/>
      <c r="CM22" s="250"/>
      <c r="CN22" s="250"/>
      <c r="CO22" s="250"/>
      <c r="CP22" s="250"/>
      <c r="CQ22" s="250"/>
      <c r="CR22" s="250"/>
      <c r="CS22" s="250"/>
      <c r="CT22" s="250"/>
      <c r="CU22" s="250"/>
      <c r="CV22" s="250"/>
      <c r="CW22" s="250"/>
      <c r="CX22" s="250"/>
      <c r="CY22" s="250"/>
      <c r="CZ22" s="250"/>
      <c r="DA22" s="250"/>
      <c r="DB22" s="250"/>
      <c r="DC22" s="250"/>
      <c r="DD22" s="250"/>
      <c r="DE22" s="250"/>
      <c r="DF22" s="250"/>
      <c r="DG22" s="250"/>
      <c r="DH22" s="250"/>
      <c r="DI22" s="250"/>
      <c r="DJ22" s="250"/>
      <c r="DK22" s="250"/>
      <c r="DL22" s="250"/>
      <c r="DM22" s="250"/>
      <c r="DN22" s="250"/>
      <c r="DO22" s="250"/>
      <c r="DP22" s="250"/>
      <c r="DQ22" s="250"/>
      <c r="DR22" s="250"/>
      <c r="DS22" s="566">
        <f t="shared" si="45"/>
        <v>0</v>
      </c>
      <c r="DU22" s="583">
        <f>DU21-5</f>
        <v>30</v>
      </c>
      <c r="DV22" s="562">
        <f t="shared" si="46"/>
        <v>90</v>
      </c>
      <c r="DW22" s="537">
        <v>8</v>
      </c>
      <c r="DX22" s="250"/>
      <c r="DY22" s="250"/>
      <c r="DZ22" s="250"/>
      <c r="EA22" s="250"/>
      <c r="EB22" s="351">
        <f t="shared" si="31"/>
        <v>0</v>
      </c>
      <c r="EC22" s="351" t="str">
        <f t="shared" si="32"/>
        <v>X</v>
      </c>
      <c r="ED22" s="352" t="str">
        <f t="shared" si="33"/>
        <v>X</v>
      </c>
      <c r="EE22" s="78">
        <f t="shared" si="47"/>
        <v>21</v>
      </c>
      <c r="EF22" s="78" t="e">
        <f t="shared" si="3"/>
        <v>#NUM!</v>
      </c>
      <c r="EG22" s="540" t="e">
        <f t="shared" si="4"/>
        <v>#NUM!</v>
      </c>
      <c r="EH22" s="632" t="e">
        <f t="shared" si="48"/>
        <v>#NUM!</v>
      </c>
      <c r="EI22" s="646" t="e">
        <f t="shared" si="49"/>
        <v>#NUM!</v>
      </c>
      <c r="EJ22" s="544">
        <f t="shared" si="50"/>
        <v>0</v>
      </c>
      <c r="EK22" s="540">
        <f t="shared" si="51"/>
        <v>0</v>
      </c>
      <c r="EL22" s="544" t="e">
        <f t="shared" si="52"/>
        <v>#NUM!</v>
      </c>
      <c r="EM22" s="218">
        <f t="shared" si="53"/>
        <v>0</v>
      </c>
      <c r="EN22" s="250"/>
      <c r="EP22" s="250"/>
      <c r="EQ22" s="250"/>
      <c r="ER22" s="250"/>
      <c r="ES22" s="250"/>
      <c r="ET22" s="250"/>
      <c r="EU22" s="250"/>
      <c r="EV22" s="250"/>
      <c r="EW22" s="250"/>
      <c r="EX22" s="250"/>
      <c r="EY22" s="250"/>
      <c r="EZ22" s="250"/>
      <c r="FA22" s="250"/>
      <c r="FB22" s="250"/>
      <c r="FC22" s="250"/>
      <c r="FD22" s="250"/>
      <c r="FE22" s="250"/>
      <c r="FF22" s="250"/>
      <c r="FG22" s="250"/>
      <c r="FH22" s="250"/>
      <c r="FI22" s="250"/>
      <c r="FJ22" s="250"/>
      <c r="FK22" s="250"/>
      <c r="FL22" s="250"/>
      <c r="FM22" s="250"/>
      <c r="FN22" s="250"/>
      <c r="FO22" s="250"/>
      <c r="FP22" s="250"/>
      <c r="FQ22" s="250"/>
      <c r="FR22" s="250"/>
      <c r="FS22" s="250"/>
      <c r="FT22" s="250"/>
      <c r="FU22" s="250"/>
      <c r="FV22" s="250"/>
      <c r="FW22" s="250"/>
      <c r="FX22" s="250"/>
      <c r="FY22" s="250"/>
      <c r="FZ22" s="250"/>
      <c r="GA22" s="250"/>
      <c r="GB22" s="250"/>
      <c r="GC22" s="250"/>
      <c r="GD22" s="250"/>
      <c r="GE22" s="250"/>
      <c r="GF22" s="250"/>
      <c r="GG22" s="250"/>
      <c r="GH22" s="250"/>
      <c r="GI22" s="250"/>
      <c r="GJ22" s="250"/>
      <c r="GK22" s="250"/>
      <c r="GL22" s="566">
        <f t="shared" si="54"/>
        <v>0</v>
      </c>
      <c r="GM22" s="250"/>
      <c r="GN22" s="537">
        <f t="shared" si="55"/>
        <v>30</v>
      </c>
      <c r="GO22" s="537">
        <f t="shared" si="56"/>
        <v>90</v>
      </c>
      <c r="GP22" s="250"/>
      <c r="GQ22" s="250"/>
      <c r="GR22" s="250"/>
      <c r="GS22" s="250"/>
      <c r="GT22" s="250"/>
      <c r="GU22" s="250"/>
      <c r="GV22" s="250"/>
      <c r="GW22" s="250"/>
      <c r="GX22" s="250"/>
      <c r="GY22" s="250"/>
      <c r="GZ22" s="250"/>
      <c r="HA22" s="250"/>
      <c r="HB22" s="250"/>
      <c r="HC22" s="250"/>
      <c r="HD22" s="250"/>
      <c r="HE22" s="250"/>
      <c r="HF22" s="250"/>
      <c r="HG22" s="250"/>
      <c r="HH22" s="250"/>
      <c r="HI22" s="250"/>
      <c r="HJ22" s="250"/>
      <c r="HK22" s="250"/>
      <c r="HL22" s="250"/>
      <c r="HM22" s="250"/>
      <c r="HN22" s="250"/>
      <c r="HO22" s="250"/>
      <c r="HP22" s="250"/>
      <c r="HQ22" s="250"/>
      <c r="HR22" s="250"/>
      <c r="HS22" s="250"/>
      <c r="HT22" s="250"/>
      <c r="HU22" s="250"/>
      <c r="HV22" s="250"/>
      <c r="HW22" s="250"/>
      <c r="HX22" s="250"/>
      <c r="HY22" s="250"/>
      <c r="HZ22" s="250"/>
      <c r="IA22" s="250"/>
      <c r="IB22" s="250"/>
      <c r="IC22" s="250"/>
      <c r="ID22" s="250"/>
      <c r="IE22" s="250"/>
      <c r="IF22" s="250"/>
      <c r="IG22" s="250"/>
      <c r="IH22" s="250"/>
      <c r="II22" s="250"/>
      <c r="IJ22" s="250"/>
      <c r="IK22" s="250"/>
      <c r="IL22" s="250"/>
      <c r="IM22" s="251"/>
      <c r="IN22" s="251"/>
      <c r="IO22" s="251"/>
      <c r="IP22" s="251"/>
      <c r="IQ22" s="251"/>
      <c r="IR22" s="259"/>
      <c r="IS22" s="259"/>
      <c r="IT22" s="259"/>
      <c r="IU22" s="259"/>
      <c r="IV22" s="259"/>
      <c r="IW22" s="259"/>
      <c r="IX22" s="259"/>
      <c r="IY22" s="260"/>
      <c r="IZ22" s="259"/>
      <c r="JA22" s="259"/>
      <c r="JB22" s="259"/>
      <c r="JC22" s="260"/>
      <c r="JD22" s="259"/>
      <c r="JE22" s="259"/>
      <c r="JF22" s="259"/>
      <c r="JG22" s="260"/>
      <c r="JH22" s="259"/>
      <c r="JI22" s="259"/>
      <c r="JJ22" s="259"/>
      <c r="JK22" s="260"/>
      <c r="JL22" s="259"/>
      <c r="JM22" s="259"/>
      <c r="JN22" s="259"/>
      <c r="JO22" s="260"/>
      <c r="JP22" s="259"/>
      <c r="JQ22" s="259"/>
      <c r="JR22" s="259"/>
      <c r="JS22" s="251"/>
      <c r="JT22" s="251"/>
      <c r="JU22" s="251"/>
      <c r="JV22" s="251"/>
      <c r="JW22" s="251"/>
      <c r="JX22" s="251"/>
      <c r="JY22" s="251"/>
      <c r="JZ22" s="251"/>
      <c r="KA22" s="251"/>
      <c r="KB22" s="251"/>
      <c r="KC22" s="251"/>
      <c r="KD22" s="251"/>
      <c r="KE22" s="251"/>
      <c r="KF22" s="251"/>
      <c r="KG22" s="251"/>
      <c r="KH22" s="251"/>
      <c r="KI22" s="251"/>
      <c r="KJ22" s="261"/>
      <c r="KK22" s="251"/>
    </row>
    <row r="23" spans="1:368" ht="19.899999999999999" hidden="1" customHeight="1" x14ac:dyDescent="0.25">
      <c r="S23" s="653"/>
      <c r="T23" s="675"/>
      <c r="U23" s="724"/>
      <c r="V23" s="724"/>
      <c r="W23" s="724"/>
      <c r="X23" s="724"/>
      <c r="Y23" s="724"/>
      <c r="Z23" s="724"/>
      <c r="AA23" s="724"/>
      <c r="AB23" s="724"/>
      <c r="AC23" s="724"/>
      <c r="AD23" s="724"/>
      <c r="AE23" s="724"/>
      <c r="AF23" s="724"/>
      <c r="AG23" s="724"/>
      <c r="AH23" s="724"/>
      <c r="AI23" s="724"/>
      <c r="AJ23" s="724"/>
      <c r="AK23" s="724"/>
      <c r="AL23" s="724"/>
      <c r="AM23" s="724"/>
      <c r="AN23" s="724"/>
      <c r="AO23" s="676"/>
      <c r="AP23" s="709"/>
      <c r="AQ23" s="709"/>
      <c r="AR23" s="709"/>
      <c r="AS23" s="709"/>
      <c r="AT23" s="709"/>
      <c r="AU23" s="724"/>
      <c r="AV23" s="719"/>
      <c r="AW23" s="653"/>
      <c r="AX23" s="1122">
        <f t="shared" si="38"/>
        <v>9</v>
      </c>
      <c r="AY23" s="551" t="str">
        <f t="shared" si="18"/>
        <v/>
      </c>
      <c r="AZ23" s="558">
        <f t="shared" si="20"/>
        <v>0</v>
      </c>
      <c r="BA23" s="559">
        <f t="shared" si="21"/>
        <v>0</v>
      </c>
      <c r="BB23" s="554" t="str">
        <f t="shared" si="22"/>
        <v xml:space="preserve"> </v>
      </c>
      <c r="BC23" s="547"/>
      <c r="BD23" s="555" t="str">
        <f t="shared" si="19"/>
        <v/>
      </c>
      <c r="BE23" s="558">
        <f t="shared" si="23"/>
        <v>0</v>
      </c>
      <c r="BF23" s="559">
        <f t="shared" si="24"/>
        <v>0</v>
      </c>
      <c r="BG23" s="554" t="str">
        <f>AG43</f>
        <v xml:space="preserve"> </v>
      </c>
      <c r="BH23" s="547"/>
      <c r="BI23" s="555" t="str">
        <f t="shared" si="26"/>
        <v/>
      </c>
      <c r="BJ23" s="558">
        <f t="shared" si="27"/>
        <v>0</v>
      </c>
      <c r="BK23" s="559">
        <f t="shared" si="28"/>
        <v>0</v>
      </c>
      <c r="BL23" s="560" t="str">
        <f t="shared" si="29"/>
        <v xml:space="preserve"> </v>
      </c>
      <c r="BO23" s="537"/>
      <c r="BS23" s="537"/>
      <c r="BT23" s="537"/>
      <c r="BU23" s="537"/>
      <c r="BV23" s="537"/>
      <c r="BW23" s="537"/>
      <c r="BX23" s="537"/>
      <c r="BY23" s="537"/>
      <c r="BZ23" s="537"/>
      <c r="CA23" s="537"/>
      <c r="CB23" s="566">
        <f t="shared" si="42"/>
        <v>0</v>
      </c>
      <c r="CC23" s="537"/>
      <c r="CD23" s="537">
        <f t="shared" si="43"/>
        <v>70</v>
      </c>
      <c r="CE23" s="537">
        <f t="shared" si="44"/>
        <v>50</v>
      </c>
      <c r="CF23" s="537"/>
      <c r="CG23" s="537"/>
      <c r="CH23" s="537"/>
      <c r="CI23" s="537"/>
      <c r="CL23" s="537"/>
      <c r="CM23" s="250"/>
      <c r="CN23" s="250"/>
      <c r="CO23" s="250"/>
      <c r="CP23" s="250"/>
      <c r="CQ23" s="250"/>
      <c r="CR23" s="250"/>
      <c r="CS23" s="250"/>
      <c r="CT23" s="250"/>
      <c r="CU23" s="250"/>
      <c r="CV23" s="250"/>
      <c r="CW23" s="250"/>
      <c r="CX23" s="250"/>
      <c r="CY23" s="250"/>
      <c r="CZ23" s="250"/>
      <c r="DA23" s="250"/>
      <c r="DB23" s="250"/>
      <c r="DC23" s="250"/>
      <c r="DD23" s="250"/>
      <c r="DE23" s="250"/>
      <c r="DF23" s="250"/>
      <c r="DG23" s="250"/>
      <c r="DH23" s="250"/>
      <c r="DI23" s="250"/>
      <c r="DJ23" s="250"/>
      <c r="DK23" s="250"/>
      <c r="DL23" s="250"/>
      <c r="DM23" s="250"/>
      <c r="DN23" s="250"/>
      <c r="DO23" s="250"/>
      <c r="DP23" s="250"/>
      <c r="DQ23" s="250"/>
      <c r="DR23" s="250"/>
      <c r="DS23" s="566">
        <f t="shared" si="45"/>
        <v>0</v>
      </c>
      <c r="DU23" s="537">
        <f>DU22-5</f>
        <v>25</v>
      </c>
      <c r="DV23" s="537">
        <f t="shared" si="46"/>
        <v>95</v>
      </c>
      <c r="DW23" s="537"/>
      <c r="DX23" s="250"/>
      <c r="DY23" s="250"/>
      <c r="DZ23" s="250"/>
      <c r="EA23" s="250"/>
      <c r="EB23" s="351">
        <f t="shared" si="31"/>
        <v>0</v>
      </c>
      <c r="EC23" s="351" t="str">
        <f t="shared" si="32"/>
        <v>X</v>
      </c>
      <c r="ED23" s="352" t="str">
        <f t="shared" si="33"/>
        <v>X</v>
      </c>
      <c r="EE23" s="78">
        <f t="shared" si="47"/>
        <v>22</v>
      </c>
      <c r="EF23" s="78" t="e">
        <f t="shared" si="3"/>
        <v>#NUM!</v>
      </c>
      <c r="EG23" s="540" t="e">
        <f t="shared" si="4"/>
        <v>#NUM!</v>
      </c>
      <c r="EH23" s="632" t="e">
        <f t="shared" si="48"/>
        <v>#NUM!</v>
      </c>
      <c r="EI23" s="646" t="e">
        <f t="shared" si="49"/>
        <v>#NUM!</v>
      </c>
      <c r="EJ23" s="544">
        <f t="shared" si="50"/>
        <v>0</v>
      </c>
      <c r="EK23" s="540">
        <f t="shared" si="51"/>
        <v>0</v>
      </c>
      <c r="EL23" s="544" t="e">
        <f t="shared" si="52"/>
        <v>#NUM!</v>
      </c>
      <c r="EM23" s="218">
        <f t="shared" si="53"/>
        <v>0</v>
      </c>
      <c r="EN23" s="250"/>
      <c r="EP23" s="250"/>
      <c r="EQ23" s="250"/>
      <c r="ER23" s="250"/>
      <c r="ES23" s="250"/>
      <c r="ET23" s="250"/>
      <c r="EU23" s="250"/>
      <c r="EV23" s="250"/>
      <c r="EW23" s="250"/>
      <c r="EX23" s="250"/>
      <c r="EY23" s="250"/>
      <c r="EZ23" s="250"/>
      <c r="FA23" s="250"/>
      <c r="FB23" s="250"/>
      <c r="FC23" s="250"/>
      <c r="FD23" s="250"/>
      <c r="FE23" s="250"/>
      <c r="FF23" s="250"/>
      <c r="FG23" s="250"/>
      <c r="FH23" s="250"/>
      <c r="FI23" s="250"/>
      <c r="FJ23" s="250"/>
      <c r="FK23" s="250"/>
      <c r="FL23" s="250"/>
      <c r="FM23" s="250"/>
      <c r="FN23" s="250"/>
      <c r="FO23" s="250"/>
      <c r="FP23" s="250"/>
      <c r="FQ23" s="250"/>
      <c r="FR23" s="250"/>
      <c r="FS23" s="250"/>
      <c r="FT23" s="250"/>
      <c r="FU23" s="250"/>
      <c r="FV23" s="250"/>
      <c r="FW23" s="250"/>
      <c r="FX23" s="250"/>
      <c r="FY23" s="250"/>
      <c r="FZ23" s="250"/>
      <c r="GA23" s="250"/>
      <c r="GB23" s="250"/>
      <c r="GC23" s="250"/>
      <c r="GD23" s="250"/>
      <c r="GE23" s="250"/>
      <c r="GF23" s="250"/>
      <c r="GG23" s="250"/>
      <c r="GH23" s="250"/>
      <c r="GI23" s="250"/>
      <c r="GJ23" s="250"/>
      <c r="GK23" s="250"/>
      <c r="GL23" s="566">
        <f t="shared" si="54"/>
        <v>0</v>
      </c>
      <c r="GM23" s="250"/>
      <c r="GN23" s="537">
        <f t="shared" si="55"/>
        <v>25</v>
      </c>
      <c r="GO23" s="537">
        <f t="shared" si="56"/>
        <v>95</v>
      </c>
      <c r="GP23" s="250"/>
      <c r="GQ23" s="250"/>
      <c r="GR23" s="250"/>
      <c r="GS23" s="250"/>
      <c r="GT23" s="250"/>
      <c r="GU23" s="250"/>
      <c r="GV23" s="250"/>
      <c r="GW23" s="250"/>
      <c r="GX23" s="250"/>
      <c r="GY23" s="250"/>
      <c r="GZ23" s="250"/>
      <c r="HA23" s="250"/>
      <c r="HB23" s="250"/>
      <c r="HC23" s="250"/>
      <c r="HD23" s="250"/>
      <c r="HE23" s="250"/>
      <c r="HF23" s="250"/>
      <c r="HG23" s="250"/>
      <c r="HH23" s="250"/>
      <c r="HI23" s="250"/>
      <c r="HJ23" s="250"/>
      <c r="HK23" s="250"/>
      <c r="HL23" s="250"/>
      <c r="HM23" s="250"/>
      <c r="HN23" s="250"/>
      <c r="HO23" s="250"/>
      <c r="HP23" s="250"/>
      <c r="HQ23" s="250"/>
      <c r="HR23" s="250"/>
      <c r="HS23" s="250"/>
      <c r="HT23" s="250"/>
      <c r="HU23" s="250"/>
      <c r="HV23" s="250"/>
      <c r="HW23" s="250"/>
      <c r="HX23" s="250"/>
      <c r="HY23" s="250"/>
      <c r="HZ23" s="250"/>
      <c r="IA23" s="250"/>
      <c r="IB23" s="250"/>
      <c r="IC23" s="250"/>
      <c r="ID23" s="250"/>
      <c r="IE23" s="250"/>
      <c r="IF23" s="250"/>
      <c r="IG23" s="250"/>
      <c r="IH23" s="250"/>
      <c r="II23" s="250"/>
      <c r="IJ23" s="250"/>
      <c r="IK23" s="250"/>
      <c r="IL23" s="250"/>
      <c r="IM23" s="251"/>
      <c r="IN23" s="251"/>
      <c r="IO23" s="251"/>
      <c r="IP23" s="251"/>
      <c r="IQ23" s="251"/>
      <c r="IR23" s="259"/>
      <c r="IS23" s="259"/>
      <c r="IT23" s="259"/>
      <c r="IU23" s="259"/>
      <c r="IV23" s="259"/>
      <c r="IW23" s="259"/>
      <c r="IX23" s="259"/>
      <c r="IY23" s="260"/>
      <c r="IZ23" s="259"/>
      <c r="JA23" s="259"/>
      <c r="JB23" s="259"/>
      <c r="JC23" s="260"/>
      <c r="JD23" s="259"/>
      <c r="JE23" s="259"/>
      <c r="JF23" s="259"/>
      <c r="JG23" s="260"/>
      <c r="JH23" s="259"/>
      <c r="JI23" s="259"/>
      <c r="JJ23" s="259"/>
      <c r="JK23" s="260"/>
      <c r="JL23" s="259"/>
      <c r="JM23" s="259"/>
      <c r="JN23" s="259"/>
      <c r="JO23" s="260"/>
      <c r="JP23" s="259"/>
      <c r="JQ23" s="259"/>
      <c r="JR23" s="259"/>
      <c r="JS23" s="251"/>
      <c r="JT23" s="251"/>
      <c r="JU23" s="251"/>
      <c r="JV23" s="251"/>
      <c r="JW23" s="251"/>
      <c r="JX23" s="251"/>
      <c r="JY23" s="251"/>
      <c r="JZ23" s="251"/>
      <c r="KA23" s="251"/>
      <c r="KB23" s="251"/>
      <c r="KC23" s="251"/>
      <c r="KD23" s="251"/>
      <c r="KE23" s="251"/>
      <c r="KF23" s="251"/>
      <c r="KG23" s="251"/>
      <c r="KH23" s="251"/>
      <c r="KI23" s="251"/>
      <c r="KJ23" s="261"/>
      <c r="KK23" s="251"/>
    </row>
    <row r="24" spans="1:368" ht="19.899999999999999" hidden="1" customHeight="1" x14ac:dyDescent="0.25">
      <c r="S24" s="653"/>
      <c r="T24" s="675"/>
      <c r="U24" s="724"/>
      <c r="V24" s="724"/>
      <c r="W24" s="724"/>
      <c r="X24" s="724"/>
      <c r="Y24" s="724"/>
      <c r="Z24" s="724"/>
      <c r="AA24" s="724"/>
      <c r="AB24" s="724"/>
      <c r="AC24" s="724"/>
      <c r="AD24" s="724"/>
      <c r="AE24" s="724"/>
      <c r="AF24" s="724"/>
      <c r="AG24" s="724"/>
      <c r="AH24" s="724"/>
      <c r="AI24" s="724"/>
      <c r="AJ24" s="724"/>
      <c r="AK24" s="724"/>
      <c r="AL24" s="724"/>
      <c r="AM24" s="724"/>
      <c r="AN24" s="724"/>
      <c r="AO24" s="676"/>
      <c r="AP24" s="709"/>
      <c r="AQ24" s="709"/>
      <c r="AR24" s="709"/>
      <c r="AS24" s="709"/>
      <c r="AT24" s="709"/>
      <c r="AU24" s="724"/>
      <c r="AV24" s="719"/>
      <c r="AW24" s="653"/>
      <c r="AX24" s="1122">
        <f t="shared" si="38"/>
        <v>10</v>
      </c>
      <c r="AY24" s="551" t="str">
        <f t="shared" si="18"/>
        <v/>
      </c>
      <c r="AZ24" s="558">
        <f t="shared" si="20"/>
        <v>0</v>
      </c>
      <c r="BA24" s="559">
        <f t="shared" si="21"/>
        <v>0</v>
      </c>
      <c r="BB24" s="554" t="str">
        <f t="shared" si="22"/>
        <v xml:space="preserve"> </v>
      </c>
      <c r="BC24" s="547"/>
      <c r="BD24" s="555" t="str">
        <f t="shared" si="19"/>
        <v/>
      </c>
      <c r="BE24" s="558">
        <f t="shared" si="23"/>
        <v>0</v>
      </c>
      <c r="BF24" s="559">
        <f t="shared" si="24"/>
        <v>0</v>
      </c>
      <c r="BG24" s="554" t="str">
        <f t="shared" si="25"/>
        <v xml:space="preserve"> </v>
      </c>
      <c r="BH24" s="547"/>
      <c r="BI24" s="555" t="str">
        <f t="shared" si="26"/>
        <v/>
      </c>
      <c r="BJ24" s="558">
        <f t="shared" si="27"/>
        <v>0</v>
      </c>
      <c r="BK24" s="559">
        <f t="shared" si="28"/>
        <v>0</v>
      </c>
      <c r="BL24" s="560" t="str">
        <f t="shared" si="29"/>
        <v xml:space="preserve"> </v>
      </c>
      <c r="BO24" s="537"/>
      <c r="BS24" s="537"/>
      <c r="BT24" s="537"/>
      <c r="BU24" s="537"/>
      <c r="BV24" s="537"/>
      <c r="BW24" s="537"/>
      <c r="BX24" s="537"/>
      <c r="BY24" s="537"/>
      <c r="BZ24" s="537"/>
      <c r="CA24" s="537"/>
      <c r="CB24" s="566">
        <f t="shared" si="42"/>
        <v>0</v>
      </c>
      <c r="CC24" s="537"/>
      <c r="CD24" s="537">
        <f t="shared" si="43"/>
        <v>65</v>
      </c>
      <c r="CE24" s="537">
        <f t="shared" si="44"/>
        <v>55</v>
      </c>
      <c r="CF24" s="537"/>
      <c r="CG24" s="537"/>
      <c r="CH24" s="537"/>
      <c r="CI24" s="537"/>
      <c r="CL24" s="537"/>
      <c r="CM24" s="250"/>
      <c r="CN24" s="250"/>
      <c r="CO24" s="250"/>
      <c r="CP24" s="250"/>
      <c r="CQ24" s="250"/>
      <c r="CR24" s="250"/>
      <c r="CS24" s="250"/>
      <c r="CT24" s="250"/>
      <c r="CU24" s="250"/>
      <c r="CV24" s="250"/>
      <c r="CW24" s="250"/>
      <c r="CX24" s="250"/>
      <c r="CY24" s="250"/>
      <c r="CZ24" s="250"/>
      <c r="DA24" s="250"/>
      <c r="DB24" s="250"/>
      <c r="DC24" s="250"/>
      <c r="DD24" s="250"/>
      <c r="DE24" s="250"/>
      <c r="DF24" s="250"/>
      <c r="DG24" s="250"/>
      <c r="DH24" s="250"/>
      <c r="DI24" s="250"/>
      <c r="DJ24" s="250"/>
      <c r="DK24" s="250"/>
      <c r="DL24" s="250"/>
      <c r="DM24" s="250"/>
      <c r="DN24" s="250"/>
      <c r="DO24" s="250"/>
      <c r="DP24" s="250"/>
      <c r="DQ24" s="250"/>
      <c r="DR24" s="250"/>
      <c r="DS24" s="566">
        <f t="shared" si="45"/>
        <v>0</v>
      </c>
      <c r="DU24" s="537">
        <f>DU23-5</f>
        <v>20</v>
      </c>
      <c r="DV24" s="537">
        <f t="shared" si="46"/>
        <v>100</v>
      </c>
      <c r="DW24" s="537"/>
      <c r="DX24" s="250"/>
      <c r="DY24" s="250"/>
      <c r="DZ24" s="250"/>
      <c r="EA24" s="250"/>
      <c r="EB24" s="351">
        <f t="shared" si="31"/>
        <v>0</v>
      </c>
      <c r="EC24" s="351" t="str">
        <f t="shared" si="32"/>
        <v>X</v>
      </c>
      <c r="ED24" s="352" t="str">
        <f t="shared" si="33"/>
        <v>X</v>
      </c>
      <c r="EE24" s="78">
        <f t="shared" si="47"/>
        <v>23</v>
      </c>
      <c r="EF24" s="78" t="e">
        <f t="shared" si="3"/>
        <v>#NUM!</v>
      </c>
      <c r="EG24" s="540" t="e">
        <f t="shared" si="4"/>
        <v>#NUM!</v>
      </c>
      <c r="EH24" s="632" t="e">
        <f t="shared" si="48"/>
        <v>#NUM!</v>
      </c>
      <c r="EI24" s="646" t="e">
        <f t="shared" si="49"/>
        <v>#NUM!</v>
      </c>
      <c r="EJ24" s="544">
        <f t="shared" si="50"/>
        <v>0</v>
      </c>
      <c r="EK24" s="540">
        <f t="shared" si="51"/>
        <v>0</v>
      </c>
      <c r="EL24" s="544" t="e">
        <f t="shared" si="52"/>
        <v>#NUM!</v>
      </c>
      <c r="EM24" s="218">
        <f t="shared" si="53"/>
        <v>0</v>
      </c>
      <c r="EN24" s="250"/>
      <c r="EP24" s="250"/>
      <c r="EQ24" s="250"/>
      <c r="ER24" s="250"/>
      <c r="ES24" s="250"/>
      <c r="ET24" s="250"/>
      <c r="EU24" s="250"/>
      <c r="EV24" s="250"/>
      <c r="EW24" s="250"/>
      <c r="EX24" s="250"/>
      <c r="EY24" s="250"/>
      <c r="EZ24" s="250"/>
      <c r="FA24" s="250"/>
      <c r="FB24" s="250"/>
      <c r="FC24" s="250"/>
      <c r="FD24" s="250"/>
      <c r="FE24" s="250"/>
      <c r="FF24" s="250"/>
      <c r="FG24" s="250"/>
      <c r="FH24" s="250"/>
      <c r="FI24" s="250"/>
      <c r="FJ24" s="250"/>
      <c r="FK24" s="250"/>
      <c r="FL24" s="250"/>
      <c r="FM24" s="250"/>
      <c r="FN24" s="250"/>
      <c r="FO24" s="250"/>
      <c r="FP24" s="250"/>
      <c r="FQ24" s="250"/>
      <c r="FR24" s="250"/>
      <c r="FS24" s="250"/>
      <c r="FT24" s="250"/>
      <c r="FU24" s="250"/>
      <c r="FV24" s="250"/>
      <c r="FW24" s="250"/>
      <c r="FX24" s="250"/>
      <c r="FY24" s="250"/>
      <c r="FZ24" s="250"/>
      <c r="GA24" s="250"/>
      <c r="GB24" s="250"/>
      <c r="GC24" s="250"/>
      <c r="GD24" s="250"/>
      <c r="GE24" s="250"/>
      <c r="GF24" s="250"/>
      <c r="GG24" s="250"/>
      <c r="GH24" s="250"/>
      <c r="GI24" s="250"/>
      <c r="GJ24" s="250"/>
      <c r="GK24" s="250"/>
      <c r="GL24" s="566">
        <f t="shared" si="54"/>
        <v>0</v>
      </c>
      <c r="GM24" s="250"/>
      <c r="GN24" s="537">
        <f t="shared" si="55"/>
        <v>20</v>
      </c>
      <c r="GO24" s="537">
        <f t="shared" si="56"/>
        <v>100</v>
      </c>
      <c r="GP24" s="250"/>
      <c r="GQ24" s="250"/>
      <c r="GR24" s="250"/>
      <c r="GS24" s="250"/>
      <c r="GT24" s="250"/>
      <c r="GU24" s="250"/>
      <c r="GV24" s="250"/>
      <c r="GW24" s="250"/>
      <c r="GX24" s="250"/>
      <c r="GY24" s="250"/>
      <c r="GZ24" s="250"/>
      <c r="HA24" s="250"/>
      <c r="HB24" s="250"/>
      <c r="HC24" s="250"/>
      <c r="HD24" s="250"/>
      <c r="HE24" s="250"/>
      <c r="HF24" s="250"/>
      <c r="HG24" s="250"/>
      <c r="HH24" s="250"/>
      <c r="HI24" s="250"/>
      <c r="HJ24" s="250"/>
      <c r="HK24" s="250"/>
      <c r="HL24" s="250"/>
      <c r="HM24" s="250"/>
      <c r="HN24" s="250"/>
      <c r="HO24" s="250"/>
      <c r="HP24" s="250"/>
      <c r="HQ24" s="250"/>
      <c r="HR24" s="250"/>
      <c r="HS24" s="250"/>
      <c r="HT24" s="250"/>
      <c r="HU24" s="250"/>
      <c r="HV24" s="250"/>
      <c r="HW24" s="250"/>
      <c r="HX24" s="250"/>
      <c r="HY24" s="250"/>
      <c r="HZ24" s="250"/>
      <c r="IA24" s="250"/>
      <c r="IB24" s="250"/>
      <c r="IC24" s="250"/>
      <c r="ID24" s="250"/>
      <c r="IE24" s="250"/>
      <c r="IF24" s="250"/>
      <c r="IG24" s="250"/>
      <c r="IH24" s="250"/>
      <c r="II24" s="250"/>
      <c r="IJ24" s="250"/>
      <c r="IK24" s="250"/>
      <c r="IL24" s="250"/>
      <c r="IM24" s="251"/>
      <c r="IN24" s="251"/>
      <c r="IO24" s="251"/>
      <c r="IP24" s="251"/>
      <c r="IQ24" s="251"/>
      <c r="IR24" s="259"/>
      <c r="IS24" s="259"/>
      <c r="IT24" s="259"/>
      <c r="IU24" s="259"/>
      <c r="IV24" s="259"/>
      <c r="IW24" s="259"/>
      <c r="IX24" s="259"/>
      <c r="IY24" s="260"/>
      <c r="IZ24" s="259"/>
      <c r="JA24" s="259"/>
      <c r="JB24" s="259"/>
      <c r="JC24" s="260"/>
      <c r="JD24" s="259"/>
      <c r="JE24" s="259"/>
      <c r="JF24" s="259"/>
      <c r="JG24" s="260"/>
      <c r="JH24" s="259"/>
      <c r="JI24" s="259"/>
      <c r="JJ24" s="259"/>
      <c r="JK24" s="260"/>
      <c r="JL24" s="259"/>
      <c r="JM24" s="259"/>
      <c r="JN24" s="259"/>
      <c r="JO24" s="260"/>
      <c r="JP24" s="259"/>
      <c r="JQ24" s="259"/>
      <c r="JR24" s="259"/>
      <c r="JS24" s="251"/>
      <c r="JT24" s="251"/>
      <c r="JU24" s="251"/>
      <c r="JV24" s="251"/>
      <c r="JW24" s="251"/>
      <c r="JX24" s="251"/>
      <c r="JY24" s="251"/>
      <c r="JZ24" s="251"/>
      <c r="KA24" s="251"/>
      <c r="KB24" s="251"/>
      <c r="KC24" s="251"/>
      <c r="KD24" s="251"/>
      <c r="KE24" s="251"/>
      <c r="KF24" s="251"/>
      <c r="KG24" s="251"/>
      <c r="KH24" s="251"/>
      <c r="KI24" s="251"/>
      <c r="KJ24" s="261"/>
      <c r="KK24" s="251"/>
    </row>
    <row r="25" spans="1:368" s="544" customFormat="1" ht="19.899999999999999" hidden="1" customHeight="1" x14ac:dyDescent="0.25">
      <c r="A25" s="81"/>
      <c r="B25" s="81"/>
      <c r="C25" s="81"/>
      <c r="D25" s="81"/>
      <c r="E25" s="81"/>
      <c r="F25" s="81"/>
      <c r="G25" s="81"/>
      <c r="H25" s="81"/>
      <c r="I25" s="81"/>
      <c r="J25" s="81"/>
      <c r="K25" s="81"/>
      <c r="L25" s="81"/>
      <c r="M25" s="81"/>
      <c r="N25" s="81"/>
      <c r="O25" s="81"/>
      <c r="P25" s="81"/>
      <c r="Q25" s="81"/>
      <c r="S25" s="653"/>
      <c r="T25" s="675"/>
      <c r="AN25" s="724"/>
      <c r="AO25" s="676"/>
      <c r="AP25" s="709"/>
      <c r="AQ25" s="709"/>
      <c r="AR25" s="709"/>
      <c r="AS25" s="709"/>
      <c r="AT25" s="709"/>
      <c r="AU25" s="724"/>
      <c r="AV25" s="801"/>
      <c r="AW25" s="653"/>
      <c r="AX25" s="1122">
        <f t="shared" si="38"/>
        <v>11</v>
      </c>
      <c r="AY25" s="551" t="str">
        <f>U45</f>
        <v/>
      </c>
      <c r="AZ25" s="558">
        <f t="shared" ref="AZ25:BB26" si="57">X45</f>
        <v>0</v>
      </c>
      <c r="BA25" s="559">
        <f t="shared" si="57"/>
        <v>0</v>
      </c>
      <c r="BB25" s="554" t="str">
        <f t="shared" si="57"/>
        <v xml:space="preserve"> </v>
      </c>
      <c r="BC25" s="547"/>
      <c r="BD25" s="555" t="str">
        <f>AB45</f>
        <v/>
      </c>
      <c r="BE25" s="558">
        <f t="shared" ref="BE25:BG26" si="58">AE45</f>
        <v>0</v>
      </c>
      <c r="BF25" s="559">
        <f t="shared" si="58"/>
        <v>0</v>
      </c>
      <c r="BG25" s="554" t="str">
        <f t="shared" si="58"/>
        <v xml:space="preserve"> </v>
      </c>
      <c r="BH25" s="547"/>
      <c r="BI25" s="555" t="str">
        <f>AI45</f>
        <v/>
      </c>
      <c r="BJ25" s="558">
        <f t="shared" ref="BJ25:BL26" si="59">AL45</f>
        <v>0</v>
      </c>
      <c r="BK25" s="559">
        <f t="shared" si="59"/>
        <v>0</v>
      </c>
      <c r="BL25" s="560" t="str">
        <f t="shared" si="59"/>
        <v xml:space="preserve"> </v>
      </c>
      <c r="BM25" s="78"/>
      <c r="BN25" s="78"/>
      <c r="BO25" s="938"/>
      <c r="BP25" s="78"/>
      <c r="BQ25" s="78"/>
      <c r="BR25" s="78"/>
      <c r="BS25" s="938"/>
      <c r="BT25" s="938"/>
      <c r="BU25" s="938"/>
      <c r="BV25" s="938"/>
      <c r="BW25" s="938"/>
      <c r="BX25" s="938"/>
      <c r="BY25" s="938"/>
      <c r="BZ25" s="938"/>
      <c r="CA25" s="938"/>
      <c r="CB25" s="566"/>
      <c r="CC25" s="938"/>
      <c r="CD25" s="938"/>
      <c r="CE25" s="938"/>
      <c r="CF25" s="938"/>
      <c r="CG25" s="938"/>
      <c r="CH25" s="938"/>
      <c r="CI25" s="938"/>
      <c r="CJ25" s="78"/>
      <c r="CK25" s="78"/>
      <c r="CL25" s="938"/>
      <c r="CM25" s="250"/>
      <c r="CN25" s="250"/>
      <c r="CO25" s="250"/>
      <c r="CP25" s="250"/>
      <c r="CQ25" s="250"/>
      <c r="CR25" s="250"/>
      <c r="CS25" s="250"/>
      <c r="CT25" s="250"/>
      <c r="CU25" s="250"/>
      <c r="CV25" s="250"/>
      <c r="CW25" s="250"/>
      <c r="CX25" s="250"/>
      <c r="CY25" s="250"/>
      <c r="CZ25" s="250"/>
      <c r="DA25" s="250"/>
      <c r="DB25" s="250"/>
      <c r="DC25" s="250"/>
      <c r="DD25" s="250"/>
      <c r="DE25" s="250"/>
      <c r="DF25" s="250"/>
      <c r="DG25" s="250"/>
      <c r="DH25" s="250"/>
      <c r="DI25" s="250"/>
      <c r="DJ25" s="250"/>
      <c r="DK25" s="250"/>
      <c r="DL25" s="250"/>
      <c r="DM25" s="250"/>
      <c r="DN25" s="250"/>
      <c r="DO25" s="250"/>
      <c r="DP25" s="250"/>
      <c r="DQ25" s="250"/>
      <c r="DR25" s="250"/>
      <c r="DS25" s="566">
        <f>ROUNDDOWN(BF25,0)</f>
        <v>0</v>
      </c>
      <c r="DT25" s="78"/>
      <c r="DU25" s="537">
        <f>DU23-5</f>
        <v>20</v>
      </c>
      <c r="DV25" s="537">
        <f>$CD$13-DU25</f>
        <v>100</v>
      </c>
      <c r="DW25" s="938"/>
      <c r="DX25" s="250"/>
      <c r="DY25" s="250"/>
      <c r="DZ25" s="250"/>
      <c r="EA25" s="250"/>
      <c r="EB25" s="351">
        <f>GL47</f>
        <v>0</v>
      </c>
      <c r="EC25" s="351" t="str">
        <f>GM47</f>
        <v>X</v>
      </c>
      <c r="ED25" s="352" t="str">
        <f>GN47</f>
        <v>X</v>
      </c>
      <c r="EE25" s="78">
        <f>EE24+1</f>
        <v>24</v>
      </c>
      <c r="EF25" s="78" t="e">
        <f t="shared" si="3"/>
        <v>#NUM!</v>
      </c>
      <c r="EG25" s="540" t="e">
        <f t="shared" si="4"/>
        <v>#NUM!</v>
      </c>
      <c r="EH25" s="632" t="e">
        <f>EH24+EG25</f>
        <v>#NUM!</v>
      </c>
      <c r="EI25" s="647" t="e">
        <f>ROUNDDOWN(EF25,0)</f>
        <v>#NUM!</v>
      </c>
      <c r="EJ25" s="544">
        <f>COUNT(EF25)</f>
        <v>0</v>
      </c>
      <c r="EK25" s="540">
        <f>IF(EJ25=1,EG25*EI25,0)</f>
        <v>0</v>
      </c>
      <c r="EL25" s="544" t="e">
        <f>IF(EH25&lt;=$EL$1,(EG25*EI25),0)</f>
        <v>#NUM!</v>
      </c>
      <c r="EM25" s="218">
        <f>IF(EJ25=1,EL25,0)</f>
        <v>0</v>
      </c>
      <c r="EN25" s="250"/>
      <c r="EO25" s="78"/>
      <c r="EP25" s="250"/>
      <c r="EQ25" s="250"/>
      <c r="ER25" s="250"/>
      <c r="ES25" s="250"/>
      <c r="ET25" s="250"/>
      <c r="EU25" s="250"/>
      <c r="EV25" s="250"/>
      <c r="EW25" s="250"/>
      <c r="EX25" s="250"/>
      <c r="EY25" s="250"/>
      <c r="EZ25" s="250"/>
      <c r="FA25" s="250"/>
      <c r="FB25" s="250"/>
      <c r="FC25" s="250"/>
      <c r="FD25" s="250"/>
      <c r="FE25" s="250"/>
      <c r="FF25" s="250"/>
      <c r="FG25" s="250"/>
      <c r="FH25" s="250"/>
      <c r="FI25" s="250"/>
      <c r="FJ25" s="250"/>
      <c r="FK25" s="250"/>
      <c r="FL25" s="250"/>
      <c r="FM25" s="250"/>
      <c r="FN25" s="250"/>
      <c r="FO25" s="250"/>
      <c r="FP25" s="250"/>
      <c r="FQ25" s="250"/>
      <c r="FR25" s="250"/>
      <c r="FS25" s="250"/>
      <c r="FT25" s="250"/>
      <c r="FU25" s="250"/>
      <c r="FV25" s="250"/>
      <c r="FW25" s="250"/>
      <c r="FX25" s="250"/>
      <c r="FY25" s="250"/>
      <c r="FZ25" s="250"/>
      <c r="GA25" s="250"/>
      <c r="GB25" s="250"/>
      <c r="GC25" s="250"/>
      <c r="GD25" s="250"/>
      <c r="GE25" s="250"/>
      <c r="GF25" s="250"/>
      <c r="GG25" s="250"/>
      <c r="GH25" s="250"/>
      <c r="GI25" s="250"/>
      <c r="GJ25" s="250"/>
      <c r="GK25" s="250"/>
      <c r="GL25" s="566">
        <f>ROUNDDOWN(BK25,0)</f>
        <v>0</v>
      </c>
      <c r="GM25" s="250"/>
      <c r="GN25" s="537">
        <f>GN24-5</f>
        <v>15</v>
      </c>
      <c r="GO25" s="537">
        <f>$CD$13-GN25</f>
        <v>105</v>
      </c>
      <c r="GP25" s="250"/>
      <c r="GQ25" s="250"/>
      <c r="GR25" s="250"/>
      <c r="GS25" s="250"/>
      <c r="GT25" s="250"/>
      <c r="GU25" s="250"/>
      <c r="GV25" s="250"/>
      <c r="GW25" s="250"/>
      <c r="GX25" s="250"/>
      <c r="GY25" s="250"/>
      <c r="GZ25" s="250"/>
      <c r="HA25" s="250"/>
      <c r="HB25" s="250"/>
      <c r="HC25" s="250"/>
      <c r="HD25" s="250"/>
      <c r="HE25" s="250"/>
      <c r="HF25" s="250"/>
      <c r="HG25" s="250"/>
      <c r="HH25" s="250"/>
      <c r="HI25" s="250"/>
      <c r="HJ25" s="250"/>
      <c r="HK25" s="250"/>
      <c r="HL25" s="250"/>
      <c r="HM25" s="250"/>
      <c r="HN25" s="250"/>
      <c r="HO25" s="250"/>
      <c r="HP25" s="250"/>
      <c r="HQ25" s="250"/>
      <c r="HR25" s="250"/>
      <c r="HS25" s="250"/>
      <c r="HT25" s="250"/>
      <c r="HU25" s="250"/>
      <c r="HV25" s="250"/>
      <c r="HW25" s="250"/>
      <c r="HX25" s="250"/>
      <c r="HY25" s="250"/>
      <c r="HZ25" s="250"/>
      <c r="IA25" s="250"/>
      <c r="IB25" s="250"/>
      <c r="IC25" s="250"/>
      <c r="ID25" s="250"/>
      <c r="IE25" s="250"/>
      <c r="IF25" s="250"/>
      <c r="IG25" s="250"/>
      <c r="IH25" s="250"/>
      <c r="II25" s="250"/>
      <c r="IJ25" s="250"/>
      <c r="IK25" s="250"/>
      <c r="IL25" s="250"/>
      <c r="IM25" s="938"/>
      <c r="IN25" s="938"/>
      <c r="IO25" s="938"/>
      <c r="IP25" s="938"/>
      <c r="IQ25" s="938"/>
      <c r="IR25" s="937"/>
      <c r="IS25" s="937"/>
      <c r="IT25" s="937"/>
      <c r="IU25" s="937"/>
      <c r="IV25" s="937"/>
      <c r="IW25" s="937"/>
      <c r="IX25" s="937"/>
      <c r="IY25" s="260"/>
      <c r="IZ25" s="937"/>
      <c r="JA25" s="937"/>
      <c r="JB25" s="937"/>
      <c r="JC25" s="260"/>
      <c r="JD25" s="937"/>
      <c r="JE25" s="937"/>
      <c r="JF25" s="937"/>
      <c r="JG25" s="260"/>
      <c r="JH25" s="937"/>
      <c r="JI25" s="937"/>
      <c r="JJ25" s="937"/>
      <c r="JK25" s="260"/>
      <c r="JL25" s="937"/>
      <c r="JM25" s="937"/>
      <c r="JN25" s="937"/>
      <c r="JO25" s="260"/>
      <c r="JP25" s="937"/>
      <c r="JQ25" s="937"/>
      <c r="JR25" s="937"/>
      <c r="JS25" s="938"/>
      <c r="JT25" s="938"/>
      <c r="JU25" s="938"/>
      <c r="JV25" s="938"/>
      <c r="JW25" s="938"/>
      <c r="JX25" s="938"/>
      <c r="JY25" s="938"/>
      <c r="JZ25" s="938"/>
      <c r="KA25" s="938"/>
      <c r="KB25" s="938"/>
      <c r="KC25" s="938"/>
      <c r="KD25" s="938"/>
      <c r="KE25" s="938"/>
      <c r="KF25" s="938"/>
      <c r="KG25" s="938"/>
      <c r="KH25" s="938"/>
      <c r="KI25" s="938"/>
      <c r="KJ25" s="261"/>
      <c r="KK25" s="938"/>
      <c r="KM25" s="81"/>
      <c r="KN25" s="81"/>
      <c r="KO25" s="81"/>
      <c r="KP25" s="81"/>
      <c r="KQ25" s="81"/>
      <c r="KR25" s="81"/>
      <c r="KS25" s="81"/>
      <c r="KT25" s="81"/>
      <c r="KU25" s="81"/>
    </row>
    <row r="26" spans="1:368" s="544" customFormat="1" ht="19.899999999999999" hidden="1" customHeight="1" thickBot="1" x14ac:dyDescent="0.3">
      <c r="A26" s="81"/>
      <c r="B26" s="81"/>
      <c r="C26" s="81"/>
      <c r="D26" s="81"/>
      <c r="E26" s="81"/>
      <c r="F26" s="81"/>
      <c r="G26" s="81"/>
      <c r="H26" s="81"/>
      <c r="I26" s="81"/>
      <c r="J26" s="81"/>
      <c r="K26" s="81"/>
      <c r="L26" s="81"/>
      <c r="M26" s="81"/>
      <c r="N26" s="81"/>
      <c r="O26" s="81"/>
      <c r="P26" s="81"/>
      <c r="Q26" s="81"/>
      <c r="S26" s="653"/>
      <c r="T26" s="675"/>
      <c r="AN26" s="724"/>
      <c r="AO26" s="676"/>
      <c r="AP26" s="709"/>
      <c r="AQ26" s="709"/>
      <c r="AR26" s="709"/>
      <c r="AS26" s="709"/>
      <c r="AT26" s="709"/>
      <c r="AU26" s="724"/>
      <c r="AV26" s="801"/>
      <c r="AW26" s="653"/>
      <c r="AX26" s="1122">
        <f t="shared" si="38"/>
        <v>12</v>
      </c>
      <c r="AY26" s="551" t="str">
        <f>U46</f>
        <v/>
      </c>
      <c r="AZ26" s="558">
        <f t="shared" si="57"/>
        <v>0</v>
      </c>
      <c r="BA26" s="559">
        <f t="shared" si="57"/>
        <v>0</v>
      </c>
      <c r="BB26" s="554" t="str">
        <f t="shared" si="57"/>
        <v xml:space="preserve"> </v>
      </c>
      <c r="BC26" s="547"/>
      <c r="BD26" s="561" t="str">
        <f>AB46</f>
        <v/>
      </c>
      <c r="BE26" s="558">
        <f t="shared" si="58"/>
        <v>0</v>
      </c>
      <c r="BF26" s="559">
        <f t="shared" si="58"/>
        <v>0</v>
      </c>
      <c r="BG26" s="554" t="str">
        <f t="shared" si="58"/>
        <v xml:space="preserve"> </v>
      </c>
      <c r="BH26" s="547"/>
      <c r="BI26" s="561" t="str">
        <f>AI46</f>
        <v/>
      </c>
      <c r="BJ26" s="558">
        <f t="shared" si="59"/>
        <v>0</v>
      </c>
      <c r="BK26" s="559">
        <f t="shared" si="59"/>
        <v>0</v>
      </c>
      <c r="BL26" s="560" t="str">
        <f t="shared" si="59"/>
        <v xml:space="preserve"> </v>
      </c>
      <c r="BM26" s="78"/>
      <c r="BN26" s="78"/>
      <c r="BO26" s="938"/>
      <c r="BP26" s="78"/>
      <c r="BQ26" s="78"/>
      <c r="BR26" s="78"/>
      <c r="BS26" s="938"/>
      <c r="BT26" s="938"/>
      <c r="BU26" s="938"/>
      <c r="BV26" s="938"/>
      <c r="BW26" s="938"/>
      <c r="BX26" s="938"/>
      <c r="BY26" s="938"/>
      <c r="BZ26" s="938"/>
      <c r="CA26" s="938"/>
      <c r="CB26" s="566"/>
      <c r="CC26" s="938"/>
      <c r="CD26" s="938"/>
      <c r="CE26" s="938"/>
      <c r="CF26" s="938"/>
      <c r="CG26" s="938"/>
      <c r="CH26" s="938"/>
      <c r="CI26" s="938"/>
      <c r="CJ26" s="78"/>
      <c r="CK26" s="78"/>
      <c r="CL26" s="938"/>
      <c r="CM26" s="250"/>
      <c r="CN26" s="250"/>
      <c r="CO26" s="250"/>
      <c r="CP26" s="250"/>
      <c r="CQ26" s="250"/>
      <c r="CR26" s="250"/>
      <c r="CS26" s="250"/>
      <c r="CT26" s="250"/>
      <c r="CU26" s="250"/>
      <c r="CV26" s="250"/>
      <c r="CW26" s="250"/>
      <c r="CX26" s="250"/>
      <c r="CY26" s="250"/>
      <c r="CZ26" s="250"/>
      <c r="DA26" s="250"/>
      <c r="DB26" s="250"/>
      <c r="DC26" s="250"/>
      <c r="DD26" s="250"/>
      <c r="DE26" s="250"/>
      <c r="DF26" s="250"/>
      <c r="DG26" s="250"/>
      <c r="DH26" s="250"/>
      <c r="DI26" s="250"/>
      <c r="DJ26" s="250"/>
      <c r="DK26" s="250"/>
      <c r="DL26" s="250"/>
      <c r="DM26" s="250"/>
      <c r="DN26" s="250"/>
      <c r="DO26" s="250"/>
      <c r="DP26" s="250"/>
      <c r="DQ26" s="250"/>
      <c r="DR26" s="250"/>
      <c r="DS26" s="567">
        <f>ROUNDDOWN(BF26,0)</f>
        <v>0</v>
      </c>
      <c r="DT26" s="78"/>
      <c r="DU26" s="537">
        <f>DU24-5</f>
        <v>15</v>
      </c>
      <c r="DV26" s="537">
        <f>$CD$13-DU26</f>
        <v>105</v>
      </c>
      <c r="DW26" s="938"/>
      <c r="DX26" s="250"/>
      <c r="DY26" s="250"/>
      <c r="DZ26" s="250"/>
      <c r="EA26" s="250"/>
      <c r="EB26" s="78"/>
      <c r="EC26" s="78"/>
      <c r="ED26" s="78"/>
      <c r="EE26" s="633"/>
      <c r="EF26" s="633"/>
      <c r="EG26" s="277"/>
      <c r="EH26" s="41"/>
      <c r="EI26" s="78"/>
      <c r="EJ26" s="277"/>
      <c r="EK26" s="277">
        <f>SUM(EK2:EK25)</f>
        <v>0</v>
      </c>
      <c r="EL26" s="277"/>
      <c r="EM26" s="277">
        <f>SUM(EM2:EM25)</f>
        <v>0</v>
      </c>
      <c r="EN26" s="277">
        <f>EK26-EM26</f>
        <v>0</v>
      </c>
      <c r="EO26" s="78"/>
      <c r="EP26" s="250"/>
      <c r="EQ26" s="250"/>
      <c r="ER26" s="250"/>
      <c r="ES26" s="250"/>
      <c r="ET26" s="250"/>
      <c r="EU26" s="250"/>
      <c r="EV26" s="250"/>
      <c r="EW26" s="250"/>
      <c r="EX26" s="250"/>
      <c r="EY26" s="250"/>
      <c r="EZ26" s="250"/>
      <c r="FA26" s="250"/>
      <c r="FB26" s="250"/>
      <c r="FC26" s="250"/>
      <c r="FD26" s="250"/>
      <c r="FE26" s="250"/>
      <c r="FF26" s="250"/>
      <c r="FG26" s="250"/>
      <c r="FH26" s="250"/>
      <c r="FI26" s="250"/>
      <c r="FJ26" s="250"/>
      <c r="FK26" s="250"/>
      <c r="FL26" s="250"/>
      <c r="FM26" s="250"/>
      <c r="FN26" s="250"/>
      <c r="FO26" s="250"/>
      <c r="FP26" s="250"/>
      <c r="FQ26" s="250"/>
      <c r="FR26" s="250"/>
      <c r="FS26" s="250"/>
      <c r="FT26" s="250"/>
      <c r="FU26" s="250"/>
      <c r="FV26" s="250"/>
      <c r="FW26" s="250"/>
      <c r="FX26" s="250"/>
      <c r="FY26" s="250"/>
      <c r="FZ26" s="250"/>
      <c r="GA26" s="250"/>
      <c r="GB26" s="250"/>
      <c r="GC26" s="250"/>
      <c r="GD26" s="250"/>
      <c r="GE26" s="250"/>
      <c r="GF26" s="250"/>
      <c r="GG26" s="250"/>
      <c r="GH26" s="250"/>
      <c r="GI26" s="250"/>
      <c r="GJ26" s="250"/>
      <c r="GK26" s="250"/>
      <c r="GL26" s="567">
        <f>ROUNDDOWN(BK26,0)</f>
        <v>0</v>
      </c>
      <c r="GM26" s="277"/>
      <c r="GN26" s="537">
        <f>GN25-5</f>
        <v>10</v>
      </c>
      <c r="GO26" s="537">
        <f>$CD$13-GN26</f>
        <v>110</v>
      </c>
      <c r="GP26" s="250"/>
      <c r="GQ26" s="250"/>
      <c r="GR26" s="250"/>
      <c r="GS26" s="250"/>
      <c r="GT26" s="250"/>
      <c r="GU26" s="250"/>
      <c r="GV26" s="250"/>
      <c r="GW26" s="250"/>
      <c r="GX26" s="250"/>
      <c r="GY26" s="250"/>
      <c r="GZ26" s="250"/>
      <c r="HA26" s="250"/>
      <c r="HB26" s="250"/>
      <c r="HC26" s="250"/>
      <c r="HD26" s="250"/>
      <c r="HE26" s="250"/>
      <c r="HF26" s="250"/>
      <c r="HG26" s="250"/>
      <c r="HH26" s="250"/>
      <c r="HI26" s="250"/>
      <c r="HJ26" s="250"/>
      <c r="HK26" s="250"/>
      <c r="HL26" s="250"/>
      <c r="HM26" s="250"/>
      <c r="HN26" s="250"/>
      <c r="HO26" s="250"/>
      <c r="HP26" s="250"/>
      <c r="HQ26" s="250"/>
      <c r="HR26" s="250"/>
      <c r="HS26" s="250"/>
      <c r="HT26" s="250"/>
      <c r="HU26" s="250"/>
      <c r="HV26" s="250"/>
      <c r="HW26" s="250"/>
      <c r="HX26" s="250"/>
      <c r="HY26" s="250"/>
      <c r="HZ26" s="250"/>
      <c r="IA26" s="250"/>
      <c r="IB26" s="250"/>
      <c r="IC26" s="250"/>
      <c r="ID26" s="250"/>
      <c r="IE26" s="250"/>
      <c r="IF26" s="250"/>
      <c r="IG26" s="250"/>
      <c r="IH26" s="250"/>
      <c r="II26" s="250"/>
      <c r="IJ26" s="250"/>
      <c r="IK26" s="250"/>
      <c r="IL26" s="250"/>
      <c r="IM26" s="938"/>
      <c r="IN26" s="938"/>
      <c r="IO26" s="938"/>
      <c r="IP26" s="938"/>
      <c r="IQ26" s="938"/>
      <c r="IR26" s="937"/>
      <c r="IS26" s="937"/>
      <c r="IT26" s="937"/>
      <c r="IU26" s="937"/>
      <c r="IV26" s="937"/>
      <c r="IW26" s="937"/>
      <c r="IX26" s="937"/>
      <c r="IY26" s="260"/>
      <c r="IZ26" s="937"/>
      <c r="JA26" s="937"/>
      <c r="JB26" s="937"/>
      <c r="JC26" s="260"/>
      <c r="JD26" s="937"/>
      <c r="JE26" s="937"/>
      <c r="JF26" s="937"/>
      <c r="JG26" s="260"/>
      <c r="JH26" s="937"/>
      <c r="JI26" s="937"/>
      <c r="JJ26" s="937"/>
      <c r="JK26" s="260"/>
      <c r="JL26" s="937"/>
      <c r="JM26" s="937"/>
      <c r="JN26" s="937"/>
      <c r="JO26" s="260"/>
      <c r="JP26" s="937"/>
      <c r="JQ26" s="937"/>
      <c r="JR26" s="937"/>
      <c r="JS26" s="938"/>
      <c r="JT26" s="938"/>
      <c r="JU26" s="938"/>
      <c r="JV26" s="938"/>
      <c r="JW26" s="938"/>
      <c r="JX26" s="938"/>
      <c r="JY26" s="938"/>
      <c r="JZ26" s="938"/>
      <c r="KA26" s="938"/>
      <c r="KB26" s="938"/>
      <c r="KC26" s="938"/>
      <c r="KD26" s="938"/>
      <c r="KE26" s="938"/>
      <c r="KF26" s="938"/>
      <c r="KG26" s="938"/>
      <c r="KH26" s="938"/>
      <c r="KI26" s="938"/>
      <c r="KJ26" s="261"/>
      <c r="KK26" s="938"/>
      <c r="KM26" s="81"/>
      <c r="KN26" s="81"/>
      <c r="KO26" s="81"/>
      <c r="KP26" s="81"/>
      <c r="KQ26" s="81"/>
      <c r="KR26" s="81"/>
      <c r="KS26" s="81"/>
      <c r="KT26" s="81"/>
      <c r="KU26" s="81"/>
    </row>
    <row r="27" spans="1:368" ht="19.899999999999999" customHeight="1" x14ac:dyDescent="0.25">
      <c r="S27" s="653"/>
      <c r="T27" s="675"/>
      <c r="U27" s="1110" t="s">
        <v>783</v>
      </c>
      <c r="V27" s="264"/>
      <c r="W27" s="264"/>
      <c r="X27" s="264"/>
      <c r="Y27" s="264"/>
      <c r="Z27" s="264"/>
      <c r="AA27" s="264"/>
      <c r="AB27" s="264"/>
      <c r="AC27" s="264"/>
      <c r="AD27" s="264"/>
      <c r="AE27" s="264"/>
      <c r="AF27" s="264"/>
      <c r="AG27" s="264"/>
      <c r="AH27" s="265"/>
      <c r="AI27" s="266"/>
      <c r="AJ27" s="266"/>
      <c r="AK27" s="266"/>
      <c r="AL27" s="265"/>
      <c r="AM27" s="265"/>
      <c r="AN27" s="265"/>
      <c r="AO27" s="678"/>
      <c r="AP27" s="711"/>
      <c r="AQ27" s="711"/>
      <c r="AR27" s="711"/>
      <c r="AS27" s="711"/>
      <c r="AT27" s="711"/>
      <c r="AU27" s="790"/>
      <c r="AV27" s="719"/>
      <c r="AW27" s="653"/>
      <c r="AX27" s="250"/>
      <c r="BO27" s="268"/>
      <c r="BT27" s="271"/>
      <c r="BU27" s="271"/>
      <c r="BV27" s="272"/>
      <c r="BW27" s="271"/>
      <c r="BY27" s="537"/>
      <c r="BZ27" s="537"/>
      <c r="CA27" s="537"/>
      <c r="CB27" s="566">
        <f>ROUNDDOWN(BA25,0)</f>
        <v>0</v>
      </c>
      <c r="CC27" s="537"/>
      <c r="CD27" s="581">
        <f>CD24-5</f>
        <v>60</v>
      </c>
      <c r="CE27" s="563">
        <f t="shared" si="44"/>
        <v>60</v>
      </c>
      <c r="CF27" s="537"/>
      <c r="CG27" s="537"/>
      <c r="CH27" s="537"/>
      <c r="CI27" s="537"/>
      <c r="CL27" s="537"/>
      <c r="CM27" s="250"/>
      <c r="CN27" s="250"/>
      <c r="CO27" s="250"/>
      <c r="CP27" s="250"/>
      <c r="CQ27" s="250"/>
      <c r="CR27" s="250"/>
      <c r="CS27" s="250"/>
      <c r="CT27" s="250"/>
      <c r="CU27" s="250"/>
      <c r="CV27" s="250"/>
      <c r="CW27" s="250"/>
      <c r="CX27" s="250"/>
      <c r="CY27" s="250"/>
      <c r="CZ27" s="250"/>
      <c r="DA27" s="250"/>
      <c r="DB27" s="250"/>
      <c r="DC27" s="250"/>
      <c r="DD27" s="250"/>
      <c r="DE27" s="250"/>
      <c r="DF27" s="250"/>
      <c r="DG27" s="250"/>
      <c r="DH27" s="250"/>
      <c r="DI27" s="250"/>
      <c r="DJ27" s="250"/>
      <c r="DK27" s="250"/>
      <c r="DL27" s="250"/>
      <c r="DM27" s="250"/>
      <c r="DN27" s="250"/>
      <c r="DO27" s="250"/>
      <c r="DP27" s="250"/>
      <c r="DQ27" s="250"/>
      <c r="DR27" s="250"/>
      <c r="DS27" s="277"/>
      <c r="DT27" s="277"/>
      <c r="DU27" s="537">
        <f>DU25-5</f>
        <v>15</v>
      </c>
      <c r="DV27" s="537">
        <f>$CD$13-DU27</f>
        <v>105</v>
      </c>
      <c r="DW27" s="250"/>
      <c r="DX27" s="250"/>
      <c r="DY27" s="250"/>
      <c r="DZ27" s="250"/>
      <c r="EA27" s="277"/>
      <c r="EE27" s="277"/>
      <c r="EH27" s="277"/>
      <c r="EI27" s="277"/>
      <c r="EJ27" s="277"/>
      <c r="EK27" s="277">
        <v>240</v>
      </c>
      <c r="EL27" s="277"/>
      <c r="EM27" s="277">
        <f>EL1</f>
        <v>80</v>
      </c>
      <c r="EN27" s="277">
        <f>EK27-EM27</f>
        <v>160</v>
      </c>
      <c r="EP27" s="250"/>
      <c r="EQ27" s="250"/>
      <c r="ER27" s="250"/>
      <c r="ES27" s="250"/>
      <c r="ET27" s="250"/>
      <c r="EU27" s="250"/>
      <c r="EV27" s="250"/>
      <c r="EW27" s="250"/>
      <c r="EX27" s="250"/>
      <c r="EY27" s="250"/>
      <c r="EZ27" s="250"/>
      <c r="FA27" s="250"/>
      <c r="FB27" s="250"/>
      <c r="FC27" s="250"/>
      <c r="FD27" s="250"/>
      <c r="FE27" s="250"/>
      <c r="FF27" s="250"/>
      <c r="FG27" s="250"/>
      <c r="FH27" s="250"/>
      <c r="FI27" s="250"/>
      <c r="FJ27" s="250"/>
      <c r="FK27" s="250"/>
      <c r="FL27" s="250"/>
      <c r="FM27" s="250"/>
      <c r="FN27" s="250"/>
      <c r="FO27" s="250"/>
      <c r="FP27" s="250"/>
      <c r="FQ27" s="250"/>
      <c r="FR27" s="250"/>
      <c r="FS27" s="250"/>
      <c r="FT27" s="250"/>
      <c r="FU27" s="250"/>
      <c r="FV27" s="250"/>
      <c r="FW27" s="250"/>
      <c r="FX27" s="250"/>
      <c r="FY27" s="250"/>
      <c r="FZ27" s="250"/>
      <c r="GA27" s="250"/>
      <c r="GB27" s="250"/>
      <c r="GC27" s="250"/>
      <c r="GD27" s="250"/>
      <c r="GE27" s="250"/>
      <c r="GF27" s="250"/>
      <c r="GG27" s="250"/>
      <c r="GH27" s="250"/>
      <c r="GI27" s="250"/>
      <c r="GJ27" s="250"/>
      <c r="GK27" s="250"/>
      <c r="GL27" s="277"/>
      <c r="GM27" s="277"/>
      <c r="GN27" s="537">
        <f>GN26-5</f>
        <v>5</v>
      </c>
      <c r="GO27" s="537">
        <f>$CD$13-GN27</f>
        <v>115</v>
      </c>
      <c r="GP27" s="250"/>
      <c r="GQ27" s="250"/>
      <c r="GR27" s="250"/>
      <c r="GS27" s="250"/>
      <c r="GT27" s="250"/>
      <c r="GU27" s="250"/>
      <c r="GV27" s="250"/>
      <c r="GW27" s="250"/>
      <c r="GX27" s="250"/>
      <c r="GY27" s="250"/>
      <c r="GZ27" s="250"/>
      <c r="HA27" s="250"/>
      <c r="HB27" s="250"/>
      <c r="HC27" s="250"/>
      <c r="HD27" s="250"/>
      <c r="HE27" s="250"/>
      <c r="HF27" s="250"/>
      <c r="HG27" s="250"/>
      <c r="HH27" s="250"/>
      <c r="HI27" s="250"/>
      <c r="HJ27" s="250"/>
      <c r="HK27" s="250"/>
      <c r="HL27" s="250"/>
      <c r="HM27" s="250"/>
      <c r="HN27" s="250"/>
      <c r="HO27" s="250"/>
      <c r="HP27" s="250"/>
      <c r="HQ27" s="250"/>
      <c r="HR27" s="250"/>
      <c r="HS27" s="250"/>
      <c r="HT27" s="250"/>
      <c r="HU27" s="250"/>
      <c r="HV27" s="250"/>
      <c r="HW27" s="250"/>
      <c r="HX27" s="250"/>
      <c r="HY27" s="250"/>
      <c r="HZ27" s="250"/>
      <c r="IA27" s="250"/>
      <c r="IB27" s="250"/>
      <c r="IC27" s="250"/>
      <c r="ID27" s="250"/>
      <c r="IE27" s="250"/>
      <c r="IF27" s="250"/>
      <c r="IG27" s="250"/>
      <c r="IH27" s="250"/>
      <c r="II27" s="250"/>
      <c r="IJ27" s="250"/>
      <c r="IK27" s="250"/>
      <c r="IL27" s="250"/>
      <c r="IM27" s="273"/>
      <c r="IN27" s="251"/>
      <c r="IO27" s="251"/>
      <c r="IP27" s="251"/>
      <c r="IQ27" s="251"/>
      <c r="JS27" s="251"/>
      <c r="JT27" s="251"/>
      <c r="JU27" s="251"/>
      <c r="JV27" s="251"/>
      <c r="JW27" s="251"/>
      <c r="JX27" s="251"/>
      <c r="JY27" s="251"/>
      <c r="JZ27" s="251"/>
      <c r="KA27" s="251"/>
      <c r="KB27" s="251"/>
      <c r="KC27" s="251"/>
      <c r="KD27" s="251"/>
      <c r="KE27" s="251"/>
      <c r="KF27" s="251"/>
      <c r="KG27" s="251"/>
      <c r="KH27" s="251"/>
      <c r="KI27" s="251"/>
      <c r="KJ27" s="274">
        <v>8.49</v>
      </c>
      <c r="KK27" s="251"/>
    </row>
    <row r="28" spans="1:368" ht="19.899999999999999" customHeight="1" thickBot="1" x14ac:dyDescent="0.35">
      <c r="S28" s="653"/>
      <c r="T28" s="675"/>
      <c r="U28" s="668" t="s">
        <v>990</v>
      </c>
      <c r="V28" s="539"/>
      <c r="W28" s="539"/>
      <c r="X28" s="539"/>
      <c r="Y28" s="539"/>
      <c r="Z28" s="539"/>
      <c r="AA28" s="539"/>
      <c r="AB28" s="539"/>
      <c r="AC28" s="539"/>
      <c r="AD28" s="539"/>
      <c r="AE28" s="539"/>
      <c r="AF28" s="275"/>
      <c r="AG28" s="275"/>
      <c r="AH28" s="265"/>
      <c r="AI28" s="266"/>
      <c r="AJ28" s="266"/>
      <c r="AK28" s="266"/>
      <c r="AL28" s="265"/>
      <c r="AM28" s="265"/>
      <c r="AN28" s="265"/>
      <c r="AO28" s="678"/>
      <c r="AP28" s="711"/>
      <c r="AQ28" s="711"/>
      <c r="AR28" s="711"/>
      <c r="AS28" s="711"/>
      <c r="AT28" s="711"/>
      <c r="AU28" s="790"/>
      <c r="AV28" s="719"/>
      <c r="AW28" s="653"/>
      <c r="AX28" s="262" t="s">
        <v>1286</v>
      </c>
      <c r="BO28" s="537"/>
      <c r="BS28" s="537"/>
      <c r="BT28" s="537"/>
      <c r="BU28" s="537"/>
      <c r="BV28" s="537"/>
      <c r="BW28" s="537"/>
      <c r="BX28" s="537"/>
      <c r="BY28" s="537"/>
      <c r="BZ28" s="537"/>
      <c r="CA28" s="537"/>
      <c r="CB28" s="567">
        <f>ROUNDDOWN(BA26,0)</f>
        <v>0</v>
      </c>
      <c r="CC28" s="8"/>
      <c r="CD28" s="537">
        <f t="shared" si="43"/>
        <v>55</v>
      </c>
      <c r="CE28" s="537">
        <f t="shared" si="44"/>
        <v>65</v>
      </c>
      <c r="CF28" s="537"/>
      <c r="CG28" s="537"/>
      <c r="CH28" s="537"/>
      <c r="CI28" s="537"/>
      <c r="CL28" s="537"/>
      <c r="CM28" s="250"/>
      <c r="CN28" s="250"/>
      <c r="CO28" s="250"/>
      <c r="CP28" s="250"/>
      <c r="CQ28" s="250"/>
      <c r="CR28" s="250"/>
      <c r="CS28" s="250"/>
      <c r="CT28" s="250"/>
      <c r="CU28" s="250"/>
      <c r="CV28" s="250"/>
      <c r="CW28" s="250"/>
      <c r="CX28" s="250"/>
      <c r="CY28" s="250"/>
      <c r="CZ28" s="250"/>
      <c r="DA28" s="250"/>
      <c r="DB28" s="250"/>
      <c r="DC28" s="250"/>
      <c r="DD28" s="250"/>
      <c r="DE28" s="250"/>
      <c r="DF28" s="250"/>
      <c r="DG28" s="250"/>
      <c r="DH28" s="250"/>
      <c r="DI28" s="250"/>
      <c r="DJ28" s="250"/>
      <c r="DK28" s="250"/>
      <c r="DL28" s="250"/>
      <c r="DM28" s="250"/>
      <c r="DN28" s="250"/>
      <c r="DO28" s="250"/>
      <c r="DP28" s="250"/>
      <c r="DQ28" s="250"/>
      <c r="DR28" s="250"/>
      <c r="DS28" s="8"/>
      <c r="DT28" s="8"/>
      <c r="DU28" s="537">
        <f>DU26-5</f>
        <v>10</v>
      </c>
      <c r="DV28" s="537">
        <f>$CD$13-DU28</f>
        <v>110</v>
      </c>
      <c r="DW28" s="277"/>
      <c r="DX28" s="277"/>
      <c r="DY28" s="277"/>
      <c r="DZ28" s="277"/>
      <c r="EB28" s="8"/>
      <c r="EC28" s="8"/>
      <c r="ED28" s="596"/>
      <c r="EF28" s="263"/>
      <c r="EG28" s="8"/>
      <c r="EH28" s="8"/>
      <c r="EI28" s="8"/>
      <c r="EJ28" s="8"/>
      <c r="EK28" s="8">
        <f>EK26/EK27</f>
        <v>0</v>
      </c>
      <c r="EL28" s="8"/>
      <c r="EM28" s="8">
        <f>EM26/EM27</f>
        <v>0</v>
      </c>
      <c r="EN28" s="649">
        <f>EN26/EN27</f>
        <v>0</v>
      </c>
      <c r="EP28" s="250"/>
      <c r="EQ28" s="250"/>
      <c r="ER28" s="250"/>
      <c r="ES28" s="250"/>
      <c r="ET28" s="250"/>
      <c r="EU28" s="250"/>
      <c r="EV28" s="250"/>
      <c r="EW28" s="250"/>
      <c r="EX28" s="250"/>
      <c r="EY28" s="250"/>
      <c r="EZ28" s="250"/>
      <c r="FA28" s="250"/>
      <c r="FB28" s="250"/>
      <c r="FC28" s="250"/>
      <c r="FD28" s="250"/>
      <c r="FE28" s="250"/>
      <c r="FF28" s="250"/>
      <c r="FG28" s="250"/>
      <c r="FH28" s="250"/>
      <c r="FI28" s="250"/>
      <c r="FJ28" s="250"/>
      <c r="FK28" s="250"/>
      <c r="FL28" s="250"/>
      <c r="FM28" s="250"/>
      <c r="FN28" s="250"/>
      <c r="FO28" s="250"/>
      <c r="FP28" s="250"/>
      <c r="FQ28" s="250"/>
      <c r="FR28" s="250"/>
      <c r="FS28" s="250"/>
      <c r="FT28" s="250"/>
      <c r="FU28" s="250"/>
      <c r="FV28" s="250"/>
      <c r="FW28" s="250"/>
      <c r="FX28" s="250"/>
      <c r="FY28" s="250"/>
      <c r="FZ28" s="250"/>
      <c r="GA28" s="250"/>
      <c r="GB28" s="250"/>
      <c r="GC28" s="250"/>
      <c r="GD28" s="250"/>
      <c r="GE28" s="250"/>
      <c r="GF28" s="250"/>
      <c r="GG28" s="250"/>
      <c r="GH28" s="250"/>
      <c r="GI28" s="250"/>
      <c r="GJ28" s="250"/>
      <c r="GK28" s="250"/>
      <c r="GL28" s="8"/>
      <c r="GM28" s="8"/>
      <c r="GN28" s="537">
        <f>GN27-5</f>
        <v>0</v>
      </c>
      <c r="GO28" s="537">
        <f>$CD$13-GN28</f>
        <v>120</v>
      </c>
      <c r="GP28" s="250"/>
      <c r="GQ28" s="250"/>
      <c r="GR28" s="250"/>
      <c r="GS28" s="250"/>
      <c r="GT28" s="250"/>
      <c r="GU28" s="250"/>
      <c r="GV28" s="250"/>
      <c r="GW28" s="250"/>
      <c r="GX28" s="250"/>
      <c r="GY28" s="250"/>
      <c r="GZ28" s="250"/>
      <c r="HA28" s="250"/>
      <c r="HB28" s="250"/>
      <c r="HC28" s="250"/>
      <c r="HD28" s="250"/>
      <c r="HE28" s="250"/>
      <c r="HF28" s="250"/>
      <c r="HG28" s="250"/>
      <c r="HH28" s="250"/>
      <c r="HI28" s="250"/>
      <c r="HJ28" s="250"/>
      <c r="HK28" s="250"/>
      <c r="HL28" s="250"/>
      <c r="HM28" s="250"/>
      <c r="HN28" s="250"/>
      <c r="HO28" s="250"/>
      <c r="HP28" s="250"/>
      <c r="HQ28" s="250"/>
      <c r="HR28" s="250"/>
      <c r="HS28" s="250"/>
      <c r="HT28" s="250"/>
      <c r="HU28" s="250"/>
      <c r="HV28" s="250"/>
      <c r="HW28" s="250"/>
      <c r="HX28" s="250"/>
      <c r="HY28" s="250"/>
      <c r="HZ28" s="250"/>
      <c r="IA28" s="250"/>
      <c r="IB28" s="250"/>
      <c r="IC28" s="250"/>
      <c r="ID28" s="250"/>
      <c r="IE28" s="250"/>
      <c r="IF28" s="250"/>
      <c r="IG28" s="250"/>
      <c r="IH28" s="250"/>
      <c r="II28" s="250"/>
      <c r="IJ28" s="250"/>
      <c r="IK28" s="250"/>
      <c r="IL28" s="250"/>
      <c r="IM28" s="276"/>
      <c r="IN28" s="251"/>
      <c r="IO28" s="251"/>
      <c r="IP28" s="251"/>
      <c r="IQ28" s="251"/>
      <c r="JS28" s="251"/>
      <c r="JT28" s="251"/>
      <c r="JU28" s="251"/>
      <c r="JV28" s="251"/>
      <c r="JW28" s="251"/>
      <c r="JX28" s="251"/>
      <c r="JY28" s="251"/>
      <c r="JZ28" s="251"/>
      <c r="KA28" s="251"/>
      <c r="KB28" s="251"/>
      <c r="KC28" s="251"/>
      <c r="KD28" s="251"/>
      <c r="KE28" s="1546" t="s">
        <v>784</v>
      </c>
      <c r="KF28" s="1546"/>
      <c r="KG28" s="1546"/>
      <c r="KH28" s="251"/>
      <c r="KI28" s="251"/>
      <c r="KJ28" s="274">
        <v>8</v>
      </c>
      <c r="KK28" s="251"/>
    </row>
    <row r="29" spans="1:368" ht="19.899999999999999" customHeight="1" x14ac:dyDescent="0.3">
      <c r="S29" s="653"/>
      <c r="T29" s="675"/>
      <c r="U29" s="668" t="s">
        <v>785</v>
      </c>
      <c r="V29" s="539"/>
      <c r="W29" s="539"/>
      <c r="X29" s="539"/>
      <c r="Y29" s="539"/>
      <c r="Z29" s="539"/>
      <c r="AA29" s="539"/>
      <c r="AB29" s="539"/>
      <c r="AC29" s="539"/>
      <c r="AD29" s="539"/>
      <c r="AE29" s="539"/>
      <c r="AF29" s="275"/>
      <c r="AG29" s="275"/>
      <c r="AH29" s="265"/>
      <c r="AI29" s="266"/>
      <c r="AJ29" s="266"/>
      <c r="AK29" s="266"/>
      <c r="AL29" s="265"/>
      <c r="AM29" s="265"/>
      <c r="AN29" s="265"/>
      <c r="AO29" s="678"/>
      <c r="AP29" s="711"/>
      <c r="AQ29" s="711"/>
      <c r="AR29" s="711"/>
      <c r="AS29" s="711"/>
      <c r="AT29" s="711"/>
      <c r="AU29" s="790"/>
      <c r="AV29" s="719"/>
      <c r="AW29" s="653"/>
      <c r="AX29" s="277"/>
      <c r="AY29" s="60"/>
      <c r="AZ29" s="60"/>
      <c r="BA29" s="60"/>
      <c r="BB29" s="60"/>
      <c r="BC29" s="60"/>
      <c r="BD29" s="60"/>
      <c r="BE29" s="60"/>
      <c r="BF29" s="60"/>
      <c r="BG29" s="60"/>
      <c r="BH29" s="60"/>
      <c r="BI29" s="60"/>
      <c r="BJ29" s="60"/>
      <c r="BK29" s="60"/>
      <c r="BL29" s="60"/>
      <c r="BO29" s="8"/>
      <c r="BS29" s="81"/>
      <c r="BT29" s="81"/>
      <c r="BU29" s="81"/>
      <c r="BV29" s="8"/>
      <c r="BW29" s="8"/>
      <c r="BX29" s="8"/>
      <c r="BY29" s="8"/>
      <c r="BZ29" s="8"/>
      <c r="CA29" s="8"/>
      <c r="CB29" s="277"/>
      <c r="CC29" s="277"/>
      <c r="CD29" s="537">
        <f t="shared" si="43"/>
        <v>50</v>
      </c>
      <c r="CE29" s="537">
        <f t="shared" si="44"/>
        <v>70</v>
      </c>
      <c r="CF29" s="8"/>
      <c r="CG29" s="8"/>
      <c r="CH29" s="8"/>
      <c r="CI29" s="8"/>
      <c r="CL29" s="8"/>
      <c r="CM29" s="277"/>
      <c r="CN29" s="277"/>
      <c r="CO29" s="277"/>
      <c r="CP29" s="277"/>
      <c r="CQ29" s="277"/>
      <c r="CR29" s="277"/>
      <c r="CS29" s="277"/>
      <c r="CT29" s="277"/>
      <c r="CU29" s="277"/>
      <c r="CV29" s="277"/>
      <c r="CW29" s="277"/>
      <c r="CX29" s="277"/>
      <c r="CY29" s="277"/>
      <c r="CZ29" s="277"/>
      <c r="DA29" s="277"/>
      <c r="DB29" s="277"/>
      <c r="DC29" s="277"/>
      <c r="DD29" s="277"/>
      <c r="DE29" s="277"/>
      <c r="DF29" s="277"/>
      <c r="DG29" s="277"/>
      <c r="DH29" s="277"/>
      <c r="DI29" s="277"/>
      <c r="DJ29" s="277"/>
      <c r="DK29" s="277"/>
      <c r="DL29" s="277"/>
      <c r="DM29" s="277"/>
      <c r="DN29" s="277"/>
      <c r="DO29" s="277"/>
      <c r="DP29" s="277"/>
      <c r="DQ29" s="277"/>
      <c r="DR29" s="277"/>
      <c r="DW29" s="277"/>
      <c r="DX29" s="277"/>
      <c r="DY29" s="277"/>
      <c r="DZ29" s="277"/>
      <c r="EA29" s="277"/>
      <c r="EP29" s="277"/>
      <c r="EQ29" s="277"/>
      <c r="ER29" s="277"/>
      <c r="ES29" s="277"/>
      <c r="ET29" s="277"/>
      <c r="EU29" s="277"/>
      <c r="EV29" s="277"/>
      <c r="EW29" s="277"/>
      <c r="EX29" s="277"/>
      <c r="EY29" s="277"/>
      <c r="EZ29" s="277"/>
      <c r="FA29" s="277"/>
      <c r="FB29" s="277"/>
      <c r="FC29" s="277"/>
      <c r="FD29" s="277"/>
      <c r="FE29" s="277"/>
      <c r="FF29" s="277"/>
      <c r="FG29" s="277"/>
      <c r="FH29" s="277"/>
      <c r="FI29" s="277"/>
      <c r="FJ29" s="277"/>
      <c r="FK29" s="277"/>
      <c r="FL29" s="277"/>
      <c r="FM29" s="277"/>
      <c r="FN29" s="277"/>
      <c r="FO29" s="277"/>
      <c r="FP29" s="277"/>
      <c r="FQ29" s="277"/>
      <c r="FR29" s="277"/>
      <c r="FS29" s="277"/>
      <c r="FT29" s="277"/>
      <c r="FU29" s="277"/>
      <c r="FV29" s="277"/>
      <c r="FW29" s="277"/>
      <c r="FX29" s="277"/>
      <c r="FY29" s="277"/>
      <c r="FZ29" s="277"/>
      <c r="GA29" s="277"/>
      <c r="GB29" s="277"/>
      <c r="GC29" s="277"/>
      <c r="GD29" s="277"/>
      <c r="GE29" s="277"/>
      <c r="GF29" s="277"/>
      <c r="GG29" s="277"/>
      <c r="GH29" s="277"/>
      <c r="GI29" s="277"/>
      <c r="GJ29" s="277"/>
      <c r="GK29" s="277"/>
      <c r="GP29" s="277"/>
      <c r="GQ29" s="277"/>
      <c r="GR29" s="277"/>
      <c r="GS29" s="277"/>
      <c r="GT29" s="277"/>
      <c r="GU29" s="277"/>
      <c r="GV29" s="277"/>
      <c r="GW29" s="277"/>
      <c r="GX29" s="277"/>
      <c r="GY29" s="277"/>
      <c r="GZ29" s="277"/>
      <c r="HA29" s="277"/>
      <c r="HB29" s="277"/>
      <c r="HC29" s="277"/>
      <c r="HD29" s="277"/>
      <c r="HE29" s="277"/>
      <c r="HF29" s="277"/>
      <c r="HG29" s="277"/>
      <c r="HH29" s="277"/>
      <c r="HI29" s="277"/>
      <c r="HJ29" s="277"/>
      <c r="HK29" s="277"/>
      <c r="HL29" s="277"/>
      <c r="HM29" s="277"/>
      <c r="HN29" s="277"/>
      <c r="HO29" s="277"/>
      <c r="HP29" s="277"/>
      <c r="HQ29" s="277"/>
      <c r="HR29" s="277"/>
      <c r="HS29" s="277"/>
      <c r="HT29" s="277"/>
      <c r="HU29" s="277"/>
      <c r="HV29" s="277"/>
      <c r="HW29" s="277"/>
      <c r="HX29" s="277"/>
      <c r="HY29" s="277"/>
      <c r="HZ29" s="277"/>
      <c r="IA29" s="277"/>
      <c r="IB29" s="277"/>
      <c r="IC29" s="277"/>
      <c r="ID29" s="277"/>
      <c r="IE29" s="277"/>
      <c r="IF29" s="277"/>
      <c r="IG29" s="277"/>
      <c r="IH29" s="277"/>
      <c r="II29" s="277"/>
      <c r="IJ29" s="277"/>
      <c r="IK29" s="44"/>
      <c r="IL29" s="44"/>
      <c r="IM29" s="279"/>
      <c r="IN29" s="280"/>
      <c r="IO29" s="280"/>
      <c r="IP29" s="280"/>
      <c r="IQ29" s="280"/>
      <c r="IR29" s="245" t="s">
        <v>754</v>
      </c>
      <c r="IS29" s="246"/>
      <c r="IT29" s="246" t="s">
        <v>786</v>
      </c>
      <c r="IU29" s="246" t="s">
        <v>787</v>
      </c>
      <c r="IV29" s="246" t="s">
        <v>788</v>
      </c>
      <c r="IW29" s="246" t="s">
        <v>789</v>
      </c>
      <c r="IX29" s="247" t="s">
        <v>755</v>
      </c>
      <c r="IY29" s="248" t="s">
        <v>756</v>
      </c>
      <c r="IZ29" s="248" t="s">
        <v>757</v>
      </c>
      <c r="JA29" s="249" t="s">
        <v>758</v>
      </c>
      <c r="JB29" s="247" t="s">
        <v>759</v>
      </c>
      <c r="JC29" s="248" t="s">
        <v>760</v>
      </c>
      <c r="JD29" s="248" t="s">
        <v>761</v>
      </c>
      <c r="JE29" s="249" t="s">
        <v>762</v>
      </c>
      <c r="JF29" s="247" t="s">
        <v>763</v>
      </c>
      <c r="JG29" s="248" t="s">
        <v>764</v>
      </c>
      <c r="JH29" s="248" t="s">
        <v>765</v>
      </c>
      <c r="JI29" s="249" t="s">
        <v>766</v>
      </c>
      <c r="JJ29" s="247" t="s">
        <v>767</v>
      </c>
      <c r="JK29" s="248" t="s">
        <v>768</v>
      </c>
      <c r="JL29" s="248" t="s">
        <v>769</v>
      </c>
      <c r="JM29" s="249" t="s">
        <v>770</v>
      </c>
      <c r="JN29" s="247" t="s">
        <v>771</v>
      </c>
      <c r="JO29" s="248" t="s">
        <v>772</v>
      </c>
      <c r="JP29" s="248" t="s">
        <v>773</v>
      </c>
      <c r="JQ29" s="249" t="s">
        <v>774</v>
      </c>
      <c r="JR29" s="39" t="s">
        <v>790</v>
      </c>
      <c r="JS29" s="280"/>
      <c r="JT29" s="280"/>
      <c r="JU29" s="280"/>
      <c r="JV29" s="280"/>
      <c r="JW29" s="280"/>
      <c r="JX29" s="280"/>
      <c r="JY29" s="280"/>
      <c r="JZ29" s="280"/>
      <c r="KA29" s="280"/>
      <c r="KB29" s="280"/>
      <c r="KC29" s="280"/>
      <c r="KD29" s="280"/>
      <c r="KE29" s="281">
        <f>JX30</f>
        <v>50</v>
      </c>
      <c r="KF29" s="281">
        <f>JY30</f>
        <v>60</v>
      </c>
      <c r="KG29" s="281">
        <f>JZ30</f>
        <v>70</v>
      </c>
      <c r="KH29" s="280"/>
      <c r="KI29" s="280"/>
      <c r="KJ29" s="281">
        <f>KE29</f>
        <v>50</v>
      </c>
      <c r="KK29" s="281">
        <f>KF29</f>
        <v>60</v>
      </c>
      <c r="KL29" s="281">
        <f>KG29</f>
        <v>70</v>
      </c>
    </row>
    <row r="30" spans="1:368" ht="19.899999999999999" customHeight="1" x14ac:dyDescent="0.3">
      <c r="S30" s="653"/>
      <c r="T30" s="675"/>
      <c r="U30" s="668" t="s">
        <v>791</v>
      </c>
      <c r="V30" s="539"/>
      <c r="W30" s="539"/>
      <c r="X30" s="539"/>
      <c r="Y30" s="539"/>
      <c r="Z30" s="539"/>
      <c r="AA30" s="539"/>
      <c r="AB30" s="539"/>
      <c r="AC30" s="539"/>
      <c r="AD30" s="539"/>
      <c r="AE30" s="539"/>
      <c r="AF30" s="275"/>
      <c r="AG30" s="275"/>
      <c r="AH30" s="265"/>
      <c r="AI30" s="266"/>
      <c r="AJ30" s="266"/>
      <c r="AK30" s="266"/>
      <c r="AL30" s="265"/>
      <c r="AM30" s="265"/>
      <c r="AN30" s="265"/>
      <c r="AO30" s="678"/>
      <c r="AP30" s="712"/>
      <c r="AQ30" s="712"/>
      <c r="AR30" s="712"/>
      <c r="AS30" s="712"/>
      <c r="AT30" s="712"/>
      <c r="AU30" s="264"/>
      <c r="AV30" s="719"/>
      <c r="AW30" s="653"/>
      <c r="AX30" s="277"/>
      <c r="AY30" s="277"/>
      <c r="AZ30" s="267"/>
      <c r="BA30" s="267"/>
      <c r="BB30" s="277"/>
      <c r="BC30" s="277"/>
      <c r="BD30" s="277"/>
      <c r="BE30" s="277"/>
      <c r="BF30" s="277"/>
      <c r="BG30" s="277"/>
      <c r="BH30" s="277"/>
      <c r="BI30" s="277"/>
      <c r="BJ30" s="277"/>
      <c r="BK30" s="277"/>
      <c r="BL30" s="277"/>
      <c r="BM30" s="277"/>
      <c r="BN30" s="277"/>
      <c r="BO30" s="277"/>
      <c r="BP30" s="277"/>
      <c r="BQ30" s="277"/>
      <c r="BR30" s="8"/>
      <c r="BS30" s="8"/>
      <c r="BT30" s="8"/>
      <c r="BU30" s="282"/>
      <c r="BV30" s="8"/>
      <c r="BW30" s="277"/>
      <c r="BX30" s="277"/>
      <c r="BY30" s="277"/>
      <c r="BZ30" s="277"/>
      <c r="CA30" s="277"/>
      <c r="CB30" s="60"/>
      <c r="CC30" s="60"/>
      <c r="CD30" s="60"/>
      <c r="CE30" s="60"/>
      <c r="CF30" s="277"/>
      <c r="CG30" s="277"/>
      <c r="CH30" s="277"/>
      <c r="CI30" s="277"/>
      <c r="CL30" s="277"/>
      <c r="CM30" s="277"/>
      <c r="CN30" s="277"/>
      <c r="CO30" s="277"/>
      <c r="CP30" s="277"/>
      <c r="CQ30" s="277"/>
      <c r="CR30" s="277"/>
      <c r="CS30" s="277"/>
      <c r="CT30" s="277"/>
      <c r="CU30" s="277"/>
      <c r="CV30" s="277"/>
      <c r="CW30" s="277"/>
      <c r="CX30" s="277"/>
      <c r="CY30" s="277"/>
      <c r="CZ30" s="277"/>
      <c r="DA30" s="277"/>
      <c r="DB30" s="277"/>
      <c r="DC30" s="277"/>
      <c r="DD30" s="277"/>
      <c r="DE30" s="277"/>
      <c r="DF30" s="277"/>
      <c r="DG30" s="277"/>
      <c r="DH30" s="277"/>
      <c r="DI30" s="277"/>
      <c r="DJ30" s="277"/>
      <c r="DK30" s="277"/>
      <c r="DL30" s="277"/>
      <c r="DM30" s="277"/>
      <c r="DN30" s="277"/>
      <c r="DO30" s="277"/>
      <c r="DP30" s="277"/>
      <c r="DQ30" s="277"/>
      <c r="DR30" s="277"/>
      <c r="DW30" s="8"/>
      <c r="DX30" s="8"/>
      <c r="DY30" s="8"/>
      <c r="DZ30" s="8"/>
      <c r="EA30" s="8"/>
      <c r="EO30" s="277"/>
      <c r="EP30" s="277"/>
      <c r="EQ30" s="277"/>
      <c r="ER30" s="277"/>
      <c r="ES30" s="277"/>
      <c r="ET30" s="277"/>
      <c r="EU30" s="277"/>
      <c r="EV30" s="277"/>
      <c r="EW30" s="277"/>
      <c r="EX30" s="277"/>
      <c r="EY30" s="277"/>
      <c r="EZ30" s="277"/>
      <c r="FA30" s="277"/>
      <c r="FB30" s="277"/>
      <c r="FC30" s="277"/>
      <c r="FD30" s="277"/>
      <c r="FE30" s="277"/>
      <c r="FF30" s="277"/>
      <c r="FG30" s="277"/>
      <c r="FH30" s="277"/>
      <c r="FI30" s="277"/>
      <c r="FJ30" s="277"/>
      <c r="FK30" s="277"/>
      <c r="FL30" s="277"/>
      <c r="FM30" s="277"/>
      <c r="FN30" s="277"/>
      <c r="FO30" s="277"/>
      <c r="FP30" s="277"/>
      <c r="FQ30" s="277"/>
      <c r="FR30" s="277"/>
      <c r="FS30" s="277"/>
      <c r="FT30" s="277"/>
      <c r="FU30" s="277"/>
      <c r="FV30" s="277"/>
      <c r="FW30" s="277"/>
      <c r="FX30" s="277"/>
      <c r="FY30" s="277"/>
      <c r="FZ30" s="277"/>
      <c r="GA30" s="277"/>
      <c r="GB30" s="277"/>
      <c r="GC30" s="277"/>
      <c r="GD30" s="277"/>
      <c r="GE30" s="277"/>
      <c r="GF30" s="277"/>
      <c r="GG30" s="277"/>
      <c r="GH30" s="277"/>
      <c r="GI30" s="277"/>
      <c r="GJ30" s="277"/>
      <c r="GK30" s="277"/>
      <c r="GP30" s="277"/>
      <c r="GQ30" s="277"/>
      <c r="GR30" s="277"/>
      <c r="GS30" s="277"/>
      <c r="GT30" s="277"/>
      <c r="GU30" s="277"/>
      <c r="GV30" s="277"/>
      <c r="GW30" s="277"/>
      <c r="GX30" s="277"/>
      <c r="GY30" s="277"/>
      <c r="GZ30" s="277"/>
      <c r="HA30" s="277"/>
      <c r="HB30" s="277"/>
      <c r="HC30" s="277"/>
      <c r="HD30" s="277"/>
      <c r="HE30" s="277"/>
      <c r="HF30" s="277"/>
      <c r="HG30" s="277"/>
      <c r="HH30" s="277"/>
      <c r="HI30" s="277"/>
      <c r="HJ30" s="277"/>
      <c r="HK30" s="277"/>
      <c r="HL30" s="277"/>
      <c r="HM30" s="277"/>
      <c r="HN30" s="277"/>
      <c r="HO30" s="277"/>
      <c r="HP30" s="277"/>
      <c r="HQ30" s="277"/>
      <c r="HR30" s="277"/>
      <c r="HS30" s="277"/>
      <c r="HT30" s="277"/>
      <c r="HU30" s="277"/>
      <c r="HV30" s="277"/>
      <c r="HW30" s="277"/>
      <c r="HX30" s="277"/>
      <c r="HY30" s="277"/>
      <c r="HZ30" s="277"/>
      <c r="IA30" s="277"/>
      <c r="IB30" s="277"/>
      <c r="IC30" s="277"/>
      <c r="ID30" s="277"/>
      <c r="IE30" s="277"/>
      <c r="IF30" s="277"/>
      <c r="IG30" s="277"/>
      <c r="IH30" s="277"/>
      <c r="II30" s="277"/>
      <c r="IJ30" s="277"/>
      <c r="IK30" s="44"/>
      <c r="IL30" s="44"/>
      <c r="IM30" s="279"/>
      <c r="IN30" s="280"/>
      <c r="IO30" s="280"/>
      <c r="IP30" s="280"/>
      <c r="IQ30" s="280"/>
      <c r="IR30" s="252" t="s">
        <v>793</v>
      </c>
      <c r="IS30" s="283">
        <v>0</v>
      </c>
      <c r="IT30" s="284">
        <v>30</v>
      </c>
      <c r="IU30" s="284">
        <f>IT31+0.01</f>
        <v>32.5</v>
      </c>
      <c r="IV30" s="284">
        <f>IU31+0.01</f>
        <v>35</v>
      </c>
      <c r="IW30" s="284">
        <f>IV31+0.01</f>
        <v>37.5</v>
      </c>
      <c r="IX30" s="284">
        <v>40</v>
      </c>
      <c r="IY30" s="285">
        <v>42.5</v>
      </c>
      <c r="IZ30" s="285">
        <v>45</v>
      </c>
      <c r="JA30" s="286">
        <v>47.5</v>
      </c>
      <c r="JB30" s="287">
        <v>50</v>
      </c>
      <c r="JC30" s="288">
        <v>52.5</v>
      </c>
      <c r="JD30" s="288">
        <v>55</v>
      </c>
      <c r="JE30" s="289">
        <v>57.5</v>
      </c>
      <c r="JF30" s="287">
        <v>60</v>
      </c>
      <c r="JG30" s="288">
        <v>62.5</v>
      </c>
      <c r="JH30" s="288">
        <v>65</v>
      </c>
      <c r="JI30" s="289">
        <v>67.5</v>
      </c>
      <c r="JJ30" s="284">
        <v>70</v>
      </c>
      <c r="JK30" s="285">
        <v>72.5</v>
      </c>
      <c r="JL30" s="285">
        <v>75</v>
      </c>
      <c r="JM30" s="286">
        <v>77.5</v>
      </c>
      <c r="JN30" s="287">
        <v>80</v>
      </c>
      <c r="JO30" s="288">
        <v>82.5</v>
      </c>
      <c r="JP30" s="288">
        <v>85</v>
      </c>
      <c r="JQ30" s="289">
        <v>87.5</v>
      </c>
      <c r="JR30" s="290">
        <v>90</v>
      </c>
      <c r="JS30" s="280">
        <v>101</v>
      </c>
      <c r="JT30" s="280"/>
      <c r="JU30" s="280"/>
      <c r="JV30" s="280"/>
      <c r="JW30" s="281">
        <f>IX30</f>
        <v>40</v>
      </c>
      <c r="JX30" s="281">
        <f>JB30</f>
        <v>50</v>
      </c>
      <c r="JY30" s="281">
        <f>JF30</f>
        <v>60</v>
      </c>
      <c r="JZ30" s="281">
        <f>JJ30</f>
        <v>70</v>
      </c>
      <c r="KA30" s="281">
        <f>JN30</f>
        <v>80</v>
      </c>
      <c r="KB30" s="280">
        <v>101</v>
      </c>
      <c r="KC30" s="280"/>
      <c r="KD30" s="280"/>
      <c r="KE30" s="291">
        <f>JW30+9.49</f>
        <v>49.49</v>
      </c>
      <c r="KF30" s="291">
        <f>JX30+9.49</f>
        <v>59.49</v>
      </c>
      <c r="KG30" s="291">
        <f>JY30+9.49</f>
        <v>69.489999999999995</v>
      </c>
      <c r="KH30" s="280"/>
      <c r="KI30" s="280"/>
      <c r="KJ30" s="281">
        <f>IF(KJ13=1,(JW30+KJ27),IF(KJ13=0,(JW30+KJ28)))</f>
        <v>48</v>
      </c>
      <c r="KK30" s="281">
        <f>IF(KJ13=1,(JX30+KJ27),IF(KJ13=0,(JX30+KJ28)))</f>
        <v>58</v>
      </c>
      <c r="KL30" s="281">
        <f>IF(KJ13=1,(JY30+KJ27),IF(KJ13=0,(JY30+KJ28)))</f>
        <v>68</v>
      </c>
    </row>
    <row r="31" spans="1:368" ht="19.899999999999999" customHeight="1" x14ac:dyDescent="0.3">
      <c r="S31" s="653"/>
      <c r="T31" s="675"/>
      <c r="U31" s="668" t="s">
        <v>794</v>
      </c>
      <c r="V31" s="275"/>
      <c r="W31" s="275"/>
      <c r="X31" s="275"/>
      <c r="Y31" s="275"/>
      <c r="Z31" s="275"/>
      <c r="AA31" s="275"/>
      <c r="AB31" s="275"/>
      <c r="AC31" s="275"/>
      <c r="AD31" s="275"/>
      <c r="AE31" s="275"/>
      <c r="AF31" s="275"/>
      <c r="AG31" s="275"/>
      <c r="AH31" s="265"/>
      <c r="AI31" s="266"/>
      <c r="AJ31" s="266"/>
      <c r="AK31" s="266"/>
      <c r="AL31" s="265"/>
      <c r="AM31" s="265"/>
      <c r="AN31" s="265"/>
      <c r="AO31" s="678"/>
      <c r="AP31" s="715"/>
      <c r="AQ31" s="715"/>
      <c r="AR31" s="715"/>
      <c r="AS31" s="715"/>
      <c r="AT31" s="715"/>
      <c r="AU31" s="265"/>
      <c r="AV31" s="719"/>
      <c r="AW31" s="653"/>
      <c r="AX31" s="277"/>
      <c r="AY31" s="277"/>
      <c r="AZ31" s="267"/>
      <c r="BA31"/>
      <c r="BB31" s="277"/>
      <c r="BC31" s="277"/>
      <c r="BD31" s="277"/>
      <c r="BE31" s="277"/>
      <c r="BF31" s="277"/>
      <c r="BG31" s="277"/>
      <c r="BH31" s="277"/>
      <c r="BI31" s="277"/>
      <c r="BJ31" s="277"/>
      <c r="BK31" s="277"/>
      <c r="BL31" s="277"/>
      <c r="BM31" s="277"/>
      <c r="BN31" s="277"/>
      <c r="BO31" s="277"/>
      <c r="BP31" s="277"/>
      <c r="BQ31" s="277"/>
      <c r="BR31" s="8"/>
      <c r="BS31" s="8"/>
      <c r="BT31" s="8"/>
      <c r="BU31" s="66"/>
      <c r="BV31" s="8"/>
      <c r="BW31" s="8"/>
      <c r="BX31" s="8"/>
      <c r="BY31" s="8"/>
      <c r="BZ31" s="8"/>
      <c r="CA31" s="8"/>
      <c r="CB31" s="8"/>
      <c r="CC31" s="8"/>
      <c r="CD31" s="8"/>
      <c r="CE31" s="8"/>
      <c r="CF31" s="8"/>
      <c r="CG31" s="8"/>
      <c r="CH31" s="8"/>
      <c r="CI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60"/>
      <c r="DT31" s="60"/>
      <c r="DU31" s="60"/>
      <c r="DV31" s="60"/>
      <c r="DW31" s="60"/>
      <c r="DX31" s="60"/>
      <c r="DY31" s="60"/>
      <c r="DZ31" s="60"/>
      <c r="EA31" s="60"/>
      <c r="EB31" s="60"/>
      <c r="EC31" s="60"/>
      <c r="ED31" s="60"/>
      <c r="EE31" s="60"/>
      <c r="EF31" s="60"/>
      <c r="EG31" s="60"/>
      <c r="EH31" s="60"/>
      <c r="EI31" s="60"/>
      <c r="EJ31" s="60"/>
      <c r="EK31" s="60"/>
      <c r="EL31" s="60"/>
      <c r="EM31" s="60"/>
      <c r="EN31" s="60"/>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60"/>
      <c r="GM31" s="60"/>
      <c r="GN31" s="60"/>
      <c r="GO31" s="60"/>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44"/>
      <c r="IL31" s="44"/>
      <c r="IM31" s="279"/>
      <c r="IN31" s="280"/>
      <c r="IO31" s="280"/>
      <c r="IP31" s="280"/>
      <c r="IQ31" s="280"/>
      <c r="IR31" s="292" t="s">
        <v>795</v>
      </c>
      <c r="IS31" s="283">
        <v>29.99</v>
      </c>
      <c r="IT31" s="284">
        <f>IT30+2.49</f>
        <v>32.49</v>
      </c>
      <c r="IU31" s="284">
        <f>IU30+2.49</f>
        <v>34.99</v>
      </c>
      <c r="IV31" s="284">
        <f>IV30+2.49</f>
        <v>37.49</v>
      </c>
      <c r="IW31" s="284">
        <f>IW30+2.49</f>
        <v>39.99</v>
      </c>
      <c r="IX31" s="293">
        <v>42.49</v>
      </c>
      <c r="IY31" s="294">
        <v>44.99</v>
      </c>
      <c r="IZ31" s="294">
        <v>47.49</v>
      </c>
      <c r="JA31" s="295">
        <v>49.99</v>
      </c>
      <c r="JB31" s="293">
        <v>52.49</v>
      </c>
      <c r="JC31" s="294">
        <v>54.99</v>
      </c>
      <c r="JD31" s="294">
        <v>57.49</v>
      </c>
      <c r="JE31" s="295">
        <v>59.99</v>
      </c>
      <c r="JF31" s="293">
        <v>62.49</v>
      </c>
      <c r="JG31" s="294">
        <v>64.989999999999995</v>
      </c>
      <c r="JH31" s="294">
        <v>67.489999999999995</v>
      </c>
      <c r="JI31" s="295">
        <v>69.989999999999995</v>
      </c>
      <c r="JJ31" s="293">
        <v>72.489999999999995</v>
      </c>
      <c r="JK31" s="294">
        <v>74.989999999999995</v>
      </c>
      <c r="JL31" s="294">
        <v>77.489999999999995</v>
      </c>
      <c r="JM31" s="295">
        <v>79.989999999999995</v>
      </c>
      <c r="JN31" s="293">
        <v>82.49</v>
      </c>
      <c r="JO31" s="294">
        <v>84.99</v>
      </c>
      <c r="JP31" s="294">
        <v>87.49</v>
      </c>
      <c r="JQ31" s="295">
        <v>89.99</v>
      </c>
      <c r="JR31" s="292" t="s">
        <v>796</v>
      </c>
      <c r="JS31" s="280"/>
      <c r="JT31" s="280"/>
      <c r="JU31" s="280"/>
      <c r="JV31" s="280"/>
      <c r="JY31" s="280"/>
      <c r="JZ31" s="280"/>
      <c r="KA31" s="280"/>
      <c r="KB31" s="280"/>
      <c r="KC31" s="280"/>
      <c r="KD31" s="280"/>
      <c r="KE31" s="280"/>
      <c r="KF31" s="280"/>
      <c r="KG31" s="280"/>
      <c r="KH31" s="280"/>
      <c r="KI31" s="280"/>
      <c r="KJ31" s="280"/>
      <c r="KK31" s="280"/>
    </row>
    <row r="32" spans="1:368" ht="10.15" customHeight="1" x14ac:dyDescent="0.25">
      <c r="S32" s="653"/>
      <c r="T32" s="679"/>
      <c r="U32" s="680"/>
      <c r="V32" s="680"/>
      <c r="W32" s="680"/>
      <c r="X32" s="681"/>
      <c r="Y32" s="681"/>
      <c r="Z32" s="681"/>
      <c r="AA32" s="682"/>
      <c r="AB32" s="681"/>
      <c r="AC32" s="681"/>
      <c r="AD32" s="681"/>
      <c r="AE32" s="680"/>
      <c r="AF32" s="681"/>
      <c r="AG32" s="681"/>
      <c r="AH32" s="681"/>
      <c r="AI32" s="680"/>
      <c r="AJ32" s="680"/>
      <c r="AK32" s="680"/>
      <c r="AL32" s="681"/>
      <c r="AM32" s="681"/>
      <c r="AN32" s="681"/>
      <c r="AO32" s="683"/>
      <c r="AP32" s="81"/>
      <c r="AQ32" s="81"/>
      <c r="AR32" s="81"/>
      <c r="AS32" s="81"/>
      <c r="AT32" s="81"/>
      <c r="AU32" s="719"/>
      <c r="AV32" s="719"/>
      <c r="AW32" s="653"/>
      <c r="AX32" s="277"/>
      <c r="AY32" s="277"/>
      <c r="AZ32" s="278"/>
      <c r="BA32"/>
      <c r="BB32" s="277"/>
      <c r="BC32" s="277"/>
      <c r="BD32" s="277"/>
      <c r="BE32" s="277"/>
      <c r="BF32" s="277"/>
      <c r="BG32" s="277"/>
      <c r="BH32" s="277"/>
      <c r="BI32" s="277"/>
      <c r="BJ32" s="277"/>
      <c r="BK32" s="277"/>
      <c r="BL32" s="277"/>
      <c r="BM32" s="277"/>
      <c r="BN32" s="277"/>
      <c r="BO32" s="277"/>
      <c r="BP32" s="277"/>
      <c r="BQ32" s="277"/>
      <c r="BR32" s="8"/>
      <c r="BS32" s="8"/>
      <c r="BT32" s="8"/>
      <c r="BU32" s="66"/>
      <c r="BV32" s="8"/>
      <c r="BW32" s="81"/>
      <c r="BX32" s="81"/>
      <c r="BY32" s="81"/>
      <c r="BZ32" s="81"/>
      <c r="CA32" s="81"/>
      <c r="CB32" s="81"/>
      <c r="CC32" s="81"/>
      <c r="CD32" s="81"/>
      <c r="CE32" s="81"/>
      <c r="CF32" s="81"/>
      <c r="CG32" s="81"/>
      <c r="CH32" s="81"/>
      <c r="CI32" s="81"/>
      <c r="CJ32" s="81"/>
      <c r="CK32" s="81"/>
      <c r="CL32" s="81"/>
      <c r="CM32" s="81"/>
      <c r="CN32" s="81"/>
      <c r="CO32" s="81"/>
      <c r="CP32" s="81"/>
      <c r="CQ32" s="81"/>
      <c r="CR32" s="81"/>
      <c r="CS32" s="81"/>
      <c r="CT32" s="81"/>
      <c r="CU32" s="81"/>
      <c r="CV32" s="81"/>
      <c r="CW32" s="81"/>
      <c r="CX32" s="81"/>
      <c r="CY32" s="81"/>
      <c r="CZ32" s="81"/>
      <c r="DA32" s="81"/>
      <c r="DB32" s="81"/>
      <c r="DC32" s="81"/>
      <c r="DD32" s="81"/>
      <c r="DE32" s="81"/>
      <c r="DF32" s="81"/>
      <c r="DG32" s="81"/>
      <c r="DH32" s="81"/>
      <c r="DI32" s="81"/>
      <c r="DJ32" s="81"/>
      <c r="DK32" s="81"/>
      <c r="DL32" s="81"/>
      <c r="DM32" s="81"/>
      <c r="DN32" s="81"/>
      <c r="DO32" s="81"/>
      <c r="DP32" s="81"/>
      <c r="DQ32" s="81"/>
      <c r="DR32" s="81"/>
      <c r="DS32" s="81"/>
      <c r="DT32" s="81"/>
      <c r="DU32" s="81"/>
      <c r="DV32" s="81"/>
      <c r="DW32" s="81"/>
      <c r="DX32" s="81"/>
      <c r="DY32" s="81"/>
      <c r="DZ32" s="81"/>
      <c r="EA32" s="81"/>
      <c r="EB32" s="81"/>
      <c r="EC32" s="81"/>
      <c r="ED32" s="81"/>
      <c r="EE32" s="81"/>
      <c r="EF32" s="81"/>
      <c r="EG32" s="81"/>
      <c r="EH32" s="81"/>
      <c r="EI32" s="81"/>
      <c r="EJ32" s="81"/>
      <c r="EK32" s="81"/>
      <c r="EL32" s="81"/>
      <c r="EM32" s="81"/>
      <c r="EN32" s="81"/>
      <c r="EO32" s="81"/>
      <c r="EP32" s="81"/>
      <c r="EQ32" s="81"/>
      <c r="ER32" s="81"/>
      <c r="ES32" s="81"/>
      <c r="ET32" s="81"/>
      <c r="EU32" s="81"/>
      <c r="EV32" s="81"/>
      <c r="EW32" s="81"/>
      <c r="EX32" s="81"/>
      <c r="EY32" s="81"/>
      <c r="EZ32" s="81"/>
      <c r="FA32" s="81"/>
      <c r="FB32" s="81"/>
      <c r="FC32" s="81"/>
      <c r="FD32" s="81"/>
      <c r="FE32" s="81"/>
      <c r="FF32" s="81"/>
      <c r="FG32" s="81"/>
      <c r="FH32" s="81"/>
      <c r="FI32" s="81"/>
      <c r="FJ32" s="81"/>
      <c r="FK32" s="81"/>
      <c r="FL32" s="81"/>
      <c r="FM32" s="81"/>
      <c r="FN32" s="81"/>
      <c r="FO32" s="81"/>
      <c r="FP32" s="81"/>
      <c r="FQ32" s="81"/>
      <c r="FR32" s="81"/>
      <c r="FS32" s="81"/>
      <c r="FT32" s="81"/>
      <c r="FU32" s="81"/>
      <c r="FV32" s="81"/>
      <c r="FW32" s="81"/>
      <c r="FX32" s="81"/>
      <c r="FY32" s="81"/>
      <c r="FZ32" s="81"/>
      <c r="GA32" s="81"/>
      <c r="GB32" s="81"/>
      <c r="GC32" s="81"/>
      <c r="GD32" s="81"/>
      <c r="GE32" s="81"/>
      <c r="GF32" s="81"/>
      <c r="GG32" s="81"/>
      <c r="GH32" s="81"/>
      <c r="GI32" s="81"/>
      <c r="GJ32" s="81"/>
      <c r="GK32" s="81"/>
      <c r="GL32" s="81"/>
      <c r="GM32" s="81"/>
      <c r="GN32" s="81"/>
      <c r="GO32" s="81"/>
      <c r="GP32" s="81"/>
      <c r="GQ32" s="81"/>
      <c r="GR32" s="81"/>
      <c r="GS32" s="81"/>
      <c r="GT32" s="81"/>
      <c r="GU32" s="81"/>
      <c r="GV32" s="81"/>
      <c r="GW32" s="81"/>
      <c r="GX32" s="81"/>
      <c r="GY32" s="81"/>
      <c r="GZ32" s="81"/>
      <c r="HA32" s="81"/>
      <c r="HB32" s="81"/>
      <c r="HC32" s="81"/>
      <c r="HD32" s="81"/>
      <c r="HE32" s="81"/>
      <c r="HF32" s="81"/>
      <c r="HG32" s="81"/>
      <c r="HH32" s="81"/>
      <c r="HI32" s="81"/>
      <c r="HJ32" s="81"/>
      <c r="HK32" s="81"/>
      <c r="HL32" s="81"/>
      <c r="HM32" s="81"/>
      <c r="HN32" s="81"/>
      <c r="HO32" s="81"/>
      <c r="HP32" s="81"/>
      <c r="HQ32" s="81"/>
      <c r="HR32" s="81"/>
      <c r="HS32" s="81"/>
      <c r="HT32" s="81"/>
      <c r="HU32" s="81"/>
      <c r="HV32" s="81"/>
      <c r="HW32" s="81"/>
      <c r="HX32" s="81"/>
      <c r="HY32" s="81"/>
      <c r="HZ32" s="81"/>
      <c r="IA32" s="81"/>
      <c r="IB32" s="81"/>
      <c r="IC32" s="81"/>
      <c r="ID32" s="81"/>
      <c r="IE32" s="81"/>
      <c r="IF32" s="81"/>
      <c r="IG32" s="81"/>
      <c r="IH32" s="81"/>
      <c r="II32" s="81"/>
      <c r="IJ32" s="81"/>
      <c r="IK32" s="44"/>
      <c r="IL32" s="44"/>
      <c r="IM32" s="279"/>
      <c r="IN32" s="280"/>
      <c r="IO32" s="280"/>
      <c r="IP32" s="280"/>
      <c r="IQ32" s="280"/>
      <c r="IR32" s="280"/>
      <c r="IS32" s="280">
        <v>1</v>
      </c>
      <c r="IT32" s="280">
        <f>IS32+1</f>
        <v>2</v>
      </c>
      <c r="IU32" s="280">
        <f>IT32+1</f>
        <v>3</v>
      </c>
      <c r="IV32" s="280">
        <f t="shared" ref="IV32:JR32" si="60">IU32+1</f>
        <v>4</v>
      </c>
      <c r="IW32" s="280">
        <f t="shared" si="60"/>
        <v>5</v>
      </c>
      <c r="IX32" s="280">
        <f t="shared" si="60"/>
        <v>6</v>
      </c>
      <c r="IY32" s="280">
        <f t="shared" si="60"/>
        <v>7</v>
      </c>
      <c r="IZ32" s="280">
        <f t="shared" si="60"/>
        <v>8</v>
      </c>
      <c r="JA32" s="280">
        <f t="shared" si="60"/>
        <v>9</v>
      </c>
      <c r="JB32" s="280">
        <f t="shared" si="60"/>
        <v>10</v>
      </c>
      <c r="JC32" s="280">
        <f t="shared" si="60"/>
        <v>11</v>
      </c>
      <c r="JD32" s="280">
        <f t="shared" si="60"/>
        <v>12</v>
      </c>
      <c r="JE32" s="280">
        <f t="shared" si="60"/>
        <v>13</v>
      </c>
      <c r="JF32" s="280">
        <f t="shared" si="60"/>
        <v>14</v>
      </c>
      <c r="JG32" s="280">
        <f t="shared" si="60"/>
        <v>15</v>
      </c>
      <c r="JH32" s="280">
        <f t="shared" si="60"/>
        <v>16</v>
      </c>
      <c r="JI32" s="280">
        <f t="shared" si="60"/>
        <v>17</v>
      </c>
      <c r="JJ32" s="280">
        <f t="shared" si="60"/>
        <v>18</v>
      </c>
      <c r="JK32" s="280">
        <f t="shared" si="60"/>
        <v>19</v>
      </c>
      <c r="JL32" s="280">
        <f t="shared" si="60"/>
        <v>20</v>
      </c>
      <c r="JM32" s="280">
        <f t="shared" si="60"/>
        <v>21</v>
      </c>
      <c r="JN32" s="280">
        <f t="shared" si="60"/>
        <v>22</v>
      </c>
      <c r="JO32" s="280">
        <f t="shared" si="60"/>
        <v>23</v>
      </c>
      <c r="JP32" s="280">
        <f t="shared" si="60"/>
        <v>24</v>
      </c>
      <c r="JQ32" s="280">
        <f t="shared" si="60"/>
        <v>25</v>
      </c>
      <c r="JR32" s="280">
        <f t="shared" si="60"/>
        <v>26</v>
      </c>
      <c r="JS32" s="280"/>
      <c r="JT32" s="280"/>
      <c r="JU32" s="280"/>
      <c r="JV32" s="280">
        <v>1</v>
      </c>
      <c r="JW32" s="44">
        <f>JV32+1</f>
        <v>2</v>
      </c>
      <c r="JX32" s="44">
        <f t="shared" ref="JX32:KA32" si="61">JW32+1</f>
        <v>3</v>
      </c>
      <c r="JY32" s="44">
        <f t="shared" si="61"/>
        <v>4</v>
      </c>
      <c r="JZ32" s="44">
        <f t="shared" si="61"/>
        <v>5</v>
      </c>
      <c r="KA32" s="44">
        <f t="shared" si="61"/>
        <v>6</v>
      </c>
      <c r="KB32" s="280"/>
      <c r="KC32" s="280"/>
      <c r="KD32" s="280"/>
      <c r="KE32" s="280">
        <v>1</v>
      </c>
      <c r="KF32" s="280">
        <v>2</v>
      </c>
      <c r="KG32" s="280">
        <v>3</v>
      </c>
      <c r="KH32" s="280"/>
      <c r="KI32" s="280"/>
      <c r="KJ32" s="280">
        <v>1</v>
      </c>
      <c r="KK32" s="280">
        <v>2</v>
      </c>
      <c r="KL32" s="60">
        <v>3</v>
      </c>
      <c r="KW32" s="296"/>
      <c r="KX32" s="296"/>
      <c r="KY32" s="296"/>
      <c r="KZ32" s="296"/>
      <c r="LB32" s="1547" t="s">
        <v>797</v>
      </c>
      <c r="LC32" s="1548"/>
      <c r="LD32" s="1548"/>
      <c r="LE32" s="1548"/>
      <c r="LF32" s="1548"/>
      <c r="LG32" s="1548"/>
      <c r="LH32" s="1548"/>
      <c r="LI32" s="1548"/>
      <c r="LJ32" s="1548"/>
      <c r="LK32" s="1548"/>
      <c r="LL32" s="1548"/>
      <c r="LM32" s="1548"/>
      <c r="LN32" s="1549"/>
    </row>
    <row r="33" spans="19:333" ht="16.149999999999999" customHeight="1" x14ac:dyDescent="0.25">
      <c r="S33" s="798"/>
      <c r="T33" s="1530"/>
      <c r="U33" s="306" t="s">
        <v>798</v>
      </c>
      <c r="V33" s="696"/>
      <c r="W33" s="696"/>
      <c r="X33" s="307"/>
      <c r="Y33" s="308"/>
      <c r="Z33" s="309"/>
      <c r="AA33" s="880"/>
      <c r="AB33" s="881" t="s">
        <v>799</v>
      </c>
      <c r="AC33" s="882"/>
      <c r="AD33" s="882"/>
      <c r="AE33" s="883"/>
      <c r="AF33" s="884"/>
      <c r="AG33" s="885"/>
      <c r="AH33" s="880"/>
      <c r="AI33" s="302" t="s">
        <v>800</v>
      </c>
      <c r="AJ33" s="695"/>
      <c r="AK33" s="695"/>
      <c r="AL33" s="303"/>
      <c r="AM33" s="304"/>
      <c r="AN33" s="305"/>
      <c r="AO33" s="886"/>
      <c r="AP33" s="791"/>
      <c r="AQ33" s="791"/>
      <c r="AR33" s="791"/>
      <c r="AS33" s="791"/>
      <c r="AT33" s="791"/>
      <c r="AU33" s="126"/>
      <c r="AV33" s="126"/>
      <c r="AW33" s="653"/>
      <c r="AZ33"/>
      <c r="BA33" s="267"/>
      <c r="BR33" s="8"/>
      <c r="BS33" s="8"/>
      <c r="BT33" s="8"/>
      <c r="BU33" s="282"/>
      <c r="BV33" s="8"/>
      <c r="BW33" s="81"/>
      <c r="BX33" s="81"/>
      <c r="BY33" s="81"/>
      <c r="BZ33" s="81"/>
      <c r="CA33" s="81"/>
      <c r="CB33" s="81"/>
      <c r="CC33" s="81"/>
      <c r="CD33" s="81"/>
      <c r="CE33" s="81"/>
      <c r="CF33" s="1550" t="s">
        <v>894</v>
      </c>
      <c r="CG33" s="81"/>
      <c r="CH33" s="81"/>
      <c r="CI33" s="81"/>
      <c r="CJ33" s="81"/>
      <c r="CK33" s="81"/>
      <c r="CL33" s="81"/>
      <c r="CM33" s="81"/>
      <c r="CN33" s="81"/>
      <c r="CO33" s="81"/>
      <c r="CP33" s="81"/>
      <c r="CQ33" s="81"/>
      <c r="CR33" s="81"/>
      <c r="CS33" s="81"/>
      <c r="CT33" s="81"/>
      <c r="CU33" s="81"/>
      <c r="CV33" s="81"/>
      <c r="CW33" s="81"/>
      <c r="CX33" s="81"/>
      <c r="CY33" s="81"/>
      <c r="CZ33" s="81"/>
      <c r="DA33" s="81"/>
      <c r="DB33" s="81"/>
      <c r="DC33" s="81"/>
      <c r="DD33" s="81"/>
      <c r="DE33" s="81"/>
      <c r="DF33" s="81"/>
      <c r="DG33" s="81"/>
      <c r="DH33" s="81"/>
      <c r="DI33" s="81"/>
      <c r="DJ33" s="81"/>
      <c r="DK33" s="81"/>
      <c r="DL33" s="81"/>
      <c r="DM33" s="81"/>
      <c r="DN33" s="81"/>
      <c r="DO33" s="81"/>
      <c r="DP33" s="81"/>
      <c r="DQ33" s="81"/>
      <c r="DR33" s="81"/>
      <c r="DS33" s="81"/>
      <c r="DT33" s="81"/>
      <c r="DU33" s="81"/>
      <c r="DV33" s="81"/>
      <c r="DW33" s="81"/>
      <c r="DX33" s="81"/>
      <c r="DY33" s="81"/>
      <c r="DZ33" s="81"/>
      <c r="EA33" s="81"/>
      <c r="EB33" s="81"/>
      <c r="EC33" s="81"/>
      <c r="ED33" s="81"/>
      <c r="EE33" s="81">
        <v>105</v>
      </c>
      <c r="EF33" s="81"/>
      <c r="EG33" s="81"/>
      <c r="EH33" s="81"/>
      <c r="EI33" s="81"/>
      <c r="EJ33" s="81"/>
      <c r="EK33" s="81"/>
      <c r="EL33" s="81"/>
      <c r="EM33" s="81"/>
      <c r="EN33" s="81"/>
      <c r="EO33" s="81"/>
      <c r="EP33" s="81"/>
      <c r="EQ33" s="81"/>
      <c r="ER33" s="81"/>
      <c r="ES33" s="81"/>
      <c r="ET33" s="81"/>
      <c r="EU33" s="81"/>
      <c r="EV33" s="81"/>
      <c r="EW33" s="81"/>
      <c r="EX33" s="81"/>
      <c r="EY33" s="81"/>
      <c r="EZ33" s="81"/>
      <c r="FA33" s="81"/>
      <c r="FB33" s="81"/>
      <c r="FC33" s="81"/>
      <c r="FD33" s="81"/>
      <c r="FE33" s="81"/>
      <c r="FF33" s="81"/>
      <c r="FG33" s="81"/>
      <c r="FH33" s="81"/>
      <c r="FI33" s="81"/>
      <c r="FJ33" s="81"/>
      <c r="FK33" s="81"/>
      <c r="FL33" s="81"/>
      <c r="FM33" s="81"/>
      <c r="FN33" s="81"/>
      <c r="FO33" s="81"/>
      <c r="FP33" s="81"/>
      <c r="FQ33" s="81"/>
      <c r="FR33" s="81"/>
      <c r="FS33" s="81"/>
      <c r="FT33" s="81"/>
      <c r="FU33" s="81"/>
      <c r="FV33" s="81"/>
      <c r="FW33" s="81"/>
      <c r="FX33" s="81"/>
      <c r="FY33" s="81"/>
      <c r="FZ33" s="81"/>
      <c r="GA33" s="81"/>
      <c r="GB33" s="81"/>
      <c r="GC33" s="81"/>
      <c r="GD33" s="81"/>
      <c r="GE33" s="81"/>
      <c r="GF33" s="81"/>
      <c r="GG33" s="81"/>
      <c r="GH33" s="81"/>
      <c r="GI33" s="81"/>
      <c r="GJ33" s="81"/>
      <c r="GK33" s="81"/>
      <c r="GL33" s="81"/>
      <c r="GM33" s="81"/>
      <c r="GN33" s="81"/>
      <c r="GO33" s="81"/>
      <c r="GP33" s="81"/>
      <c r="GQ33" s="81"/>
      <c r="GR33" s="81"/>
      <c r="GS33" s="81"/>
      <c r="GT33" s="81"/>
      <c r="GU33" s="81"/>
      <c r="GV33" s="81"/>
      <c r="GW33" s="81"/>
      <c r="GX33" s="588"/>
      <c r="GY33" s="81"/>
      <c r="GZ33" s="81"/>
      <c r="HA33" s="81"/>
      <c r="HB33" s="81"/>
      <c r="HC33" s="81"/>
      <c r="HD33" s="81"/>
      <c r="HE33" s="81"/>
      <c r="HF33" s="81"/>
      <c r="HG33" s="81"/>
      <c r="HH33" s="81"/>
      <c r="HI33" s="81"/>
      <c r="HJ33" s="81"/>
      <c r="HK33" s="81"/>
      <c r="HL33" s="81">
        <v>1</v>
      </c>
      <c r="HM33" s="81">
        <v>2</v>
      </c>
      <c r="HN33" s="81">
        <v>3</v>
      </c>
      <c r="HO33" s="81">
        <v>4</v>
      </c>
      <c r="HP33" s="81">
        <v>5</v>
      </c>
      <c r="HQ33" s="81">
        <v>6</v>
      </c>
      <c r="HR33" s="81">
        <v>7</v>
      </c>
      <c r="HS33" s="81">
        <v>1</v>
      </c>
      <c r="HT33" s="81">
        <v>2</v>
      </c>
      <c r="HU33" s="81">
        <v>3</v>
      </c>
      <c r="HV33" s="81">
        <v>4</v>
      </c>
      <c r="HW33" s="81">
        <v>5</v>
      </c>
      <c r="HX33" s="81">
        <v>6</v>
      </c>
      <c r="HY33" s="81">
        <v>7</v>
      </c>
      <c r="HZ33" s="81">
        <v>1</v>
      </c>
      <c r="IA33" s="81">
        <v>2</v>
      </c>
      <c r="IB33" s="81">
        <v>3</v>
      </c>
      <c r="IC33" s="81">
        <v>4</v>
      </c>
      <c r="ID33" s="81">
        <v>5</v>
      </c>
      <c r="IE33" s="81">
        <v>6</v>
      </c>
      <c r="IF33" s="81">
        <v>7</v>
      </c>
      <c r="IG33" s="81"/>
      <c r="IH33" s="81"/>
      <c r="II33" s="81"/>
      <c r="IJ33" s="81"/>
      <c r="IK33" s="44"/>
      <c r="IL33" s="44"/>
      <c r="IM33" s="279"/>
      <c r="IN33" s="280"/>
      <c r="IO33" s="280"/>
      <c r="IP33" s="280"/>
      <c r="IQ33" s="280"/>
      <c r="IR33" s="245" t="s">
        <v>754</v>
      </c>
      <c r="IS33" s="246" t="s">
        <v>568</v>
      </c>
      <c r="IT33" s="246" t="s">
        <v>786</v>
      </c>
      <c r="IU33" s="246" t="s">
        <v>787</v>
      </c>
      <c r="IV33" s="246" t="s">
        <v>788</v>
      </c>
      <c r="IW33" s="246" t="s">
        <v>789</v>
      </c>
      <c r="IX33" s="247" t="s">
        <v>755</v>
      </c>
      <c r="IY33" s="248" t="s">
        <v>756</v>
      </c>
      <c r="IZ33" s="248" t="s">
        <v>757</v>
      </c>
      <c r="JA33" s="248" t="s">
        <v>758</v>
      </c>
      <c r="JB33" s="247" t="s">
        <v>759</v>
      </c>
      <c r="JC33" s="248" t="s">
        <v>760</v>
      </c>
      <c r="JD33" s="248" t="s">
        <v>761</v>
      </c>
      <c r="JE33" s="248" t="s">
        <v>762</v>
      </c>
      <c r="JF33" s="247" t="s">
        <v>763</v>
      </c>
      <c r="JG33" s="248" t="s">
        <v>764</v>
      </c>
      <c r="JH33" s="248" t="s">
        <v>765</v>
      </c>
      <c r="JI33" s="248" t="s">
        <v>766</v>
      </c>
      <c r="JJ33" s="247" t="s">
        <v>767</v>
      </c>
      <c r="JK33" s="248" t="s">
        <v>768</v>
      </c>
      <c r="JL33" s="248" t="s">
        <v>769</v>
      </c>
      <c r="JM33" s="248" t="s">
        <v>770</v>
      </c>
      <c r="JN33" s="247" t="s">
        <v>771</v>
      </c>
      <c r="JO33" s="248" t="s">
        <v>772</v>
      </c>
      <c r="JP33" s="248" t="s">
        <v>773</v>
      </c>
      <c r="JQ33" s="248" t="s">
        <v>774</v>
      </c>
      <c r="JR33" s="247" t="s">
        <v>790</v>
      </c>
      <c r="JS33" s="280"/>
      <c r="JT33" s="280"/>
      <c r="JU33" s="280"/>
      <c r="JV33" s="280" t="s">
        <v>568</v>
      </c>
      <c r="JW33" s="44" t="s">
        <v>801</v>
      </c>
      <c r="JX33" s="310" t="s">
        <v>802</v>
      </c>
      <c r="JY33" s="310" t="s">
        <v>803</v>
      </c>
      <c r="JZ33" s="310" t="s">
        <v>781</v>
      </c>
      <c r="KA33" s="44" t="s">
        <v>804</v>
      </c>
      <c r="KB33" s="280"/>
      <c r="KC33" s="280"/>
      <c r="KD33" s="280"/>
      <c r="KE33" s="280"/>
      <c r="KF33" s="280"/>
      <c r="KG33" s="280"/>
      <c r="KH33" s="280"/>
      <c r="KI33" s="280"/>
      <c r="KJ33" s="280"/>
      <c r="KK33" s="280"/>
      <c r="KW33" s="296"/>
      <c r="KX33" s="296"/>
      <c r="KY33" s="296"/>
      <c r="KZ33" s="296"/>
      <c r="LB33" s="311" t="s">
        <v>805</v>
      </c>
      <c r="LC33" s="311" t="s">
        <v>806</v>
      </c>
      <c r="LD33" s="238" t="s">
        <v>807</v>
      </c>
      <c r="LE33" s="68" t="s">
        <v>721</v>
      </c>
      <c r="LF33" s="312"/>
      <c r="LG33" s="312"/>
      <c r="LH33" s="312"/>
      <c r="LI33" s="312"/>
      <c r="LJ33" s="312"/>
      <c r="LK33" s="312"/>
      <c r="LL33" s="312"/>
      <c r="LM33" s="313"/>
      <c r="LN33" s="314"/>
    </row>
    <row r="34" spans="19:333" ht="16.149999999999999" customHeight="1" thickBot="1" x14ac:dyDescent="0.3">
      <c r="S34" s="798"/>
      <c r="T34" s="1531"/>
      <c r="U34" s="1533" t="s">
        <v>808</v>
      </c>
      <c r="V34" s="1515"/>
      <c r="W34" s="1516"/>
      <c r="X34" s="315" t="s">
        <v>809</v>
      </c>
      <c r="Y34" s="315" t="s">
        <v>810</v>
      </c>
      <c r="Z34" s="315" t="s">
        <v>811</v>
      </c>
      <c r="AA34" s="276"/>
      <c r="AB34" s="1517" t="s">
        <v>808</v>
      </c>
      <c r="AC34" s="1518"/>
      <c r="AD34" s="1519"/>
      <c r="AE34" s="1116" t="s">
        <v>809</v>
      </c>
      <c r="AF34" s="1116" t="s">
        <v>810</v>
      </c>
      <c r="AG34" s="1116" t="s">
        <v>811</v>
      </c>
      <c r="AH34" s="260"/>
      <c r="AI34" s="1517" t="s">
        <v>808</v>
      </c>
      <c r="AJ34" s="1518"/>
      <c r="AK34" s="1519"/>
      <c r="AL34" s="1116" t="s">
        <v>809</v>
      </c>
      <c r="AM34" s="1116" t="s">
        <v>810</v>
      </c>
      <c r="AN34" s="1116" t="s">
        <v>811</v>
      </c>
      <c r="AO34" s="348"/>
      <c r="AP34" s="719"/>
      <c r="AQ34" s="719"/>
      <c r="AR34" s="687"/>
      <c r="AS34" s="687"/>
      <c r="AT34" s="719"/>
      <c r="AU34" s="126"/>
      <c r="AV34" s="126"/>
      <c r="AW34" s="653"/>
      <c r="AX34" s="317">
        <v>5</v>
      </c>
      <c r="AY34" s="317">
        <v>10</v>
      </c>
      <c r="AZ34" s="317">
        <v>15</v>
      </c>
      <c r="BA34" s="317">
        <v>20</v>
      </c>
      <c r="BB34" s="317">
        <v>25</v>
      </c>
      <c r="BC34" s="317">
        <v>30</v>
      </c>
      <c r="BD34" s="317">
        <v>35</v>
      </c>
      <c r="BE34" s="317">
        <v>40</v>
      </c>
      <c r="BF34" s="317">
        <v>45</v>
      </c>
      <c r="BG34" s="317">
        <v>50</v>
      </c>
      <c r="BH34" s="317">
        <v>55</v>
      </c>
      <c r="BI34" s="317">
        <v>60</v>
      </c>
      <c r="BR34" s="8"/>
      <c r="BS34" s="8"/>
      <c r="BT34" s="8"/>
      <c r="BU34" s="66"/>
      <c r="BV34" s="8"/>
      <c r="BW34" s="81"/>
      <c r="BX34" s="81"/>
      <c r="BY34" s="81"/>
      <c r="BZ34" s="81"/>
      <c r="CA34" s="318"/>
      <c r="CB34" s="319"/>
      <c r="CC34" s="319"/>
      <c r="CD34" s="319"/>
      <c r="CE34" s="320" t="s">
        <v>812</v>
      </c>
      <c r="CF34" s="1550"/>
      <c r="CG34" s="320" t="s">
        <v>813</v>
      </c>
      <c r="CH34" s="321" t="s">
        <v>814</v>
      </c>
      <c r="CI34" s="322"/>
      <c r="CJ34" s="323" t="s">
        <v>815</v>
      </c>
      <c r="CK34" s="324" t="s">
        <v>816</v>
      </c>
      <c r="CL34" s="322"/>
      <c r="CM34" s="322"/>
      <c r="CN34" s="322" t="s">
        <v>895</v>
      </c>
      <c r="CO34" s="322"/>
      <c r="CP34" s="322"/>
      <c r="CQ34" s="322"/>
      <c r="CR34" s="322"/>
      <c r="CS34" s="322"/>
      <c r="CT34" s="322"/>
      <c r="CU34" s="322" t="s">
        <v>896</v>
      </c>
      <c r="CV34" s="322"/>
      <c r="CW34" s="322"/>
      <c r="CX34" s="322"/>
      <c r="CY34" s="322"/>
      <c r="CZ34" s="322"/>
      <c r="DA34" s="319"/>
      <c r="DB34" s="322" t="s">
        <v>897</v>
      </c>
      <c r="DC34" s="322"/>
      <c r="DD34" s="322"/>
      <c r="DE34" s="322"/>
      <c r="DF34" s="322"/>
      <c r="DG34" s="322"/>
      <c r="DH34" s="319"/>
      <c r="DI34" s="322" t="s">
        <v>897</v>
      </c>
      <c r="DJ34" s="322"/>
      <c r="DK34" s="322"/>
      <c r="DL34" s="322"/>
      <c r="DM34" s="322"/>
      <c r="DN34" s="322"/>
      <c r="DO34" s="319"/>
      <c r="DP34" s="319"/>
      <c r="DQ34" s="319"/>
      <c r="DR34" s="319"/>
      <c r="DS34" s="319"/>
      <c r="DT34" s="320" t="s">
        <v>812</v>
      </c>
      <c r="DU34" s="320"/>
      <c r="DV34" s="320"/>
      <c r="DW34" s="320"/>
      <c r="DX34" s="320" t="s">
        <v>813</v>
      </c>
      <c r="DY34" s="321" t="s">
        <v>814</v>
      </c>
      <c r="DZ34" s="322"/>
      <c r="EA34" s="323" t="s">
        <v>815</v>
      </c>
      <c r="EB34" s="324" t="s">
        <v>816</v>
      </c>
      <c r="EC34" s="322"/>
      <c r="ED34" s="322"/>
      <c r="EE34" s="584">
        <v>1</v>
      </c>
      <c r="EF34" s="322"/>
      <c r="EG34" s="322"/>
      <c r="EH34" s="322"/>
      <c r="EI34" s="322"/>
      <c r="EJ34" s="322"/>
      <c r="EK34" s="322"/>
      <c r="EL34" s="584">
        <f>EE34+1</f>
        <v>2</v>
      </c>
      <c r="EM34" s="322"/>
      <c r="EN34" s="322"/>
      <c r="EO34" s="322"/>
      <c r="EP34" s="322"/>
      <c r="EQ34" s="322"/>
      <c r="ER34" s="322"/>
      <c r="ES34" s="584">
        <f>EL34+1</f>
        <v>3</v>
      </c>
      <c r="ET34" s="322"/>
      <c r="EU34" s="322"/>
      <c r="EV34" s="322"/>
      <c r="EW34" s="322"/>
      <c r="EX34" s="322"/>
      <c r="EY34" s="322"/>
      <c r="EZ34" s="584">
        <f>ES34+1</f>
        <v>4</v>
      </c>
      <c r="FA34" s="322"/>
      <c r="FB34" s="322"/>
      <c r="FC34" s="322"/>
      <c r="FD34" s="322"/>
      <c r="FE34" s="322"/>
      <c r="FF34" s="322"/>
      <c r="FG34" s="584">
        <f>EZ34+1</f>
        <v>5</v>
      </c>
      <c r="FH34" s="322"/>
      <c r="FI34" s="322"/>
      <c r="FJ34" s="322"/>
      <c r="FK34" s="322"/>
      <c r="FL34" s="322"/>
      <c r="FM34" s="322"/>
      <c r="FN34" s="584">
        <f>FG34+1</f>
        <v>6</v>
      </c>
      <c r="FO34" s="322"/>
      <c r="FP34" s="322"/>
      <c r="FQ34" s="322"/>
      <c r="FR34" s="322"/>
      <c r="FS34" s="322"/>
      <c r="FT34" s="322"/>
      <c r="FU34" s="584">
        <f>FN34+1</f>
        <v>7</v>
      </c>
      <c r="FV34" s="322"/>
      <c r="FW34" s="322"/>
      <c r="FX34" s="322"/>
      <c r="FY34" s="322"/>
      <c r="FZ34" s="322"/>
      <c r="GA34" s="322"/>
      <c r="GB34" s="584">
        <f>FU34+1</f>
        <v>8</v>
      </c>
      <c r="GC34" s="322"/>
      <c r="GD34" s="322"/>
      <c r="GE34" s="322"/>
      <c r="GF34" s="322"/>
      <c r="GG34" s="322"/>
      <c r="GH34" s="322"/>
      <c r="GI34" s="322"/>
      <c r="GJ34" s="322"/>
      <c r="GK34" s="322"/>
      <c r="GL34" s="322"/>
      <c r="GM34" s="319"/>
      <c r="GN34" s="320" t="s">
        <v>812</v>
      </c>
      <c r="GO34" s="320"/>
      <c r="GP34" s="320" t="s">
        <v>813</v>
      </c>
      <c r="GQ34" s="321" t="s">
        <v>814</v>
      </c>
      <c r="GR34" s="322"/>
      <c r="GS34" s="323" t="s">
        <v>815</v>
      </c>
      <c r="GT34" s="324" t="s">
        <v>816</v>
      </c>
      <c r="GU34" s="322"/>
      <c r="GV34" s="322"/>
      <c r="GW34" s="322"/>
      <c r="GX34" s="584">
        <v>1</v>
      </c>
      <c r="GY34" s="322"/>
      <c r="GZ34" s="322"/>
      <c r="HA34" s="322"/>
      <c r="HB34" s="322"/>
      <c r="HC34" s="322"/>
      <c r="HD34" s="322"/>
      <c r="HE34" s="584">
        <f>GX34+1</f>
        <v>2</v>
      </c>
      <c r="HF34" s="322"/>
      <c r="HG34" s="322"/>
      <c r="HH34" s="322"/>
      <c r="HI34" s="320"/>
      <c r="HJ34" s="320"/>
      <c r="HK34" s="320"/>
      <c r="HL34" s="584">
        <f>HE34+1</f>
        <v>3</v>
      </c>
      <c r="HM34" s="320"/>
      <c r="HN34" s="320"/>
      <c r="HO34" s="320"/>
      <c r="HP34" s="320"/>
      <c r="HQ34" s="320"/>
      <c r="HR34" s="320"/>
      <c r="HS34" s="584">
        <f>HL34+1</f>
        <v>4</v>
      </c>
      <c r="HT34" s="322"/>
      <c r="HU34" s="322"/>
      <c r="HV34" s="322"/>
      <c r="HW34" s="322"/>
      <c r="HX34" s="322"/>
      <c r="HY34" s="322"/>
      <c r="HZ34" s="584">
        <f>HS34+1</f>
        <v>5</v>
      </c>
      <c r="IA34" s="322"/>
      <c r="IB34" s="322"/>
      <c r="IC34" s="322"/>
      <c r="ID34" s="322"/>
      <c r="IE34" s="322"/>
      <c r="IF34" s="322"/>
      <c r="IG34" s="320"/>
      <c r="IH34" s="320"/>
      <c r="II34" s="320"/>
      <c r="IJ34" s="81"/>
      <c r="IK34" s="44"/>
      <c r="IL34" s="44"/>
      <c r="IM34" s="44"/>
      <c r="IN34" s="44"/>
      <c r="IO34" s="44"/>
      <c r="IP34" s="44"/>
      <c r="IQ34" s="44"/>
      <c r="IR34" s="44"/>
      <c r="IS34" s="44"/>
      <c r="IT34" s="279"/>
      <c r="IU34" s="280"/>
      <c r="IV34" s="280"/>
      <c r="IW34" s="280"/>
      <c r="IX34" s="280"/>
      <c r="IY34" s="280"/>
      <c r="IZ34" s="325">
        <f t="shared" ref="IZ34:JY34" si="62">(COUNTIF(IS35:IS40,"&gt;0")+(COUNTIF(IS42:IS47,"&gt;0")+(COUNTIF(IS49:IS54,"&gt;0"))))</f>
        <v>18</v>
      </c>
      <c r="JA34" s="325">
        <f t="shared" si="62"/>
        <v>0</v>
      </c>
      <c r="JB34" s="325">
        <f t="shared" si="62"/>
        <v>0</v>
      </c>
      <c r="JC34" s="325">
        <f t="shared" si="62"/>
        <v>0</v>
      </c>
      <c r="JD34" s="325">
        <f t="shared" si="62"/>
        <v>0</v>
      </c>
      <c r="JE34" s="325">
        <f t="shared" si="62"/>
        <v>0</v>
      </c>
      <c r="JF34" s="326">
        <f t="shared" si="62"/>
        <v>0</v>
      </c>
      <c r="JG34" s="326">
        <f t="shared" si="62"/>
        <v>0</v>
      </c>
      <c r="JH34" s="326">
        <f t="shared" si="62"/>
        <v>0</v>
      </c>
      <c r="JI34" s="326">
        <f t="shared" si="62"/>
        <v>0</v>
      </c>
      <c r="JJ34" s="326">
        <f t="shared" si="62"/>
        <v>0</v>
      </c>
      <c r="JK34" s="326">
        <f t="shared" si="62"/>
        <v>0</v>
      </c>
      <c r="JL34" s="326">
        <f t="shared" si="62"/>
        <v>0</v>
      </c>
      <c r="JM34" s="326">
        <f t="shared" si="62"/>
        <v>0</v>
      </c>
      <c r="JN34" s="326">
        <f t="shared" si="62"/>
        <v>0</v>
      </c>
      <c r="JO34" s="326">
        <f t="shared" si="62"/>
        <v>0</v>
      </c>
      <c r="JP34" s="326">
        <f t="shared" si="62"/>
        <v>0</v>
      </c>
      <c r="JQ34" s="326">
        <f t="shared" si="62"/>
        <v>0</v>
      </c>
      <c r="JR34" s="326">
        <f t="shared" si="62"/>
        <v>0</v>
      </c>
      <c r="JS34" s="326">
        <f t="shared" si="62"/>
        <v>0</v>
      </c>
      <c r="JT34" s="326">
        <f t="shared" si="62"/>
        <v>0</v>
      </c>
      <c r="JU34" s="326">
        <f t="shared" si="62"/>
        <v>0</v>
      </c>
      <c r="JV34" s="326">
        <f t="shared" si="62"/>
        <v>0</v>
      </c>
      <c r="JW34" s="326">
        <f t="shared" si="62"/>
        <v>0</v>
      </c>
      <c r="JX34" s="326">
        <f t="shared" si="62"/>
        <v>0</v>
      </c>
      <c r="JY34" s="326">
        <f t="shared" si="62"/>
        <v>0</v>
      </c>
      <c r="JZ34" s="327">
        <f>SUM(IZ34:JY34)</f>
        <v>18</v>
      </c>
      <c r="KA34" s="280"/>
      <c r="KB34" s="280"/>
      <c r="KC34" s="280"/>
      <c r="KD34" s="280"/>
      <c r="KE34" s="280"/>
      <c r="KF34" s="280"/>
      <c r="KG34" s="280"/>
      <c r="KH34" s="280"/>
      <c r="KI34" s="280"/>
      <c r="KJ34" s="280"/>
      <c r="KK34" s="280"/>
      <c r="KL34" s="280"/>
      <c r="KM34" s="280"/>
      <c r="KN34" s="280"/>
      <c r="KO34" s="280"/>
      <c r="KP34" s="280"/>
      <c r="KQ34" s="280"/>
      <c r="KR34" s="280"/>
      <c r="KS34" s="60"/>
      <c r="KU34" s="328"/>
      <c r="KV34" s="81"/>
      <c r="KW34" s="328"/>
      <c r="KX34" s="328"/>
      <c r="KY34" s="81"/>
      <c r="KZ34" s="328"/>
      <c r="LA34" s="81"/>
      <c r="LB34" s="81"/>
      <c r="LD34" s="66"/>
      <c r="LE34" s="66"/>
      <c r="LF34" s="66"/>
      <c r="LG34" s="66"/>
      <c r="LI34" s="1403" t="s">
        <v>817</v>
      </c>
      <c r="LJ34" s="1404"/>
      <c r="LK34" s="1404"/>
      <c r="LL34" s="1404"/>
      <c r="LM34" s="1404"/>
      <c r="LN34" s="1404"/>
      <c r="LO34" s="1404"/>
      <c r="LP34" s="1404"/>
      <c r="LQ34" s="1404"/>
      <c r="LR34" s="1404"/>
      <c r="LS34" s="1404"/>
      <c r="LT34" s="1404"/>
      <c r="LU34" s="1405"/>
    </row>
    <row r="35" spans="19:333" ht="16.149999999999999" customHeight="1" x14ac:dyDescent="0.25">
      <c r="S35" s="653"/>
      <c r="T35" s="1531"/>
      <c r="U35" s="1504" t="str">
        <f t="shared" ref="U35:U46" si="63">AY115</f>
        <v/>
      </c>
      <c r="V35" s="1505"/>
      <c r="W35" s="1506"/>
      <c r="X35" s="817"/>
      <c r="Y35" s="862"/>
      <c r="Z35" s="1114" t="str">
        <f t="shared" ref="Z35:Z46" si="64">IP35</f>
        <v xml:space="preserve"> </v>
      </c>
      <c r="AA35" s="276"/>
      <c r="AB35" s="1504" t="str">
        <f t="shared" ref="AB35:AB46" si="65">BA115</f>
        <v/>
      </c>
      <c r="AC35" s="1505"/>
      <c r="AD35" s="1506"/>
      <c r="AE35" s="817"/>
      <c r="AF35" s="862"/>
      <c r="AG35" s="554" t="str">
        <f t="shared" ref="AG35:AG46" si="66">IP47</f>
        <v xml:space="preserve"> </v>
      </c>
      <c r="AH35" s="276"/>
      <c r="AI35" s="1504" t="str">
        <f>BC115</f>
        <v/>
      </c>
      <c r="AJ35" s="1505"/>
      <c r="AK35" s="1506"/>
      <c r="AL35" s="817"/>
      <c r="AM35" s="862"/>
      <c r="AN35" s="1114" t="str">
        <f t="shared" ref="AN35:AN45" si="67">IP59</f>
        <v xml:space="preserve"> </v>
      </c>
      <c r="AO35" s="348"/>
      <c r="AP35" s="719"/>
      <c r="AQ35" s="719"/>
      <c r="AR35" s="792"/>
      <c r="AS35" s="792"/>
      <c r="AT35" s="719"/>
      <c r="AU35" s="126"/>
      <c r="AV35" s="126"/>
      <c r="AW35" s="653"/>
      <c r="AX35" s="78">
        <f t="shared" ref="AX35:AX46" si="68">IF($X35=$AX$34,1,0)</f>
        <v>0</v>
      </c>
      <c r="AY35" s="78">
        <f t="shared" ref="AY35:AY46" si="69">IF($X35=$AY$34,1,0)</f>
        <v>0</v>
      </c>
      <c r="AZ35" s="78">
        <f t="shared" ref="AZ35:AZ46" si="70">IF($X35=$AZ$34,1,0)</f>
        <v>0</v>
      </c>
      <c r="BA35" s="78">
        <f t="shared" ref="BA35:BA46" si="71">IF($X35=$BA$34,1,0)</f>
        <v>0</v>
      </c>
      <c r="BB35" s="78">
        <f t="shared" ref="BB35:BB46" si="72">IF($X35=$BB$34,1,0)</f>
        <v>0</v>
      </c>
      <c r="BC35" s="78">
        <f t="shared" ref="BC35:BC46" si="73">IF($X35=$BC$34,1,0)</f>
        <v>0</v>
      </c>
      <c r="BD35" s="78">
        <f t="shared" ref="BD35:BD46" si="74">IF($X35=$BD$34,1,0)</f>
        <v>0</v>
      </c>
      <c r="BE35" s="78">
        <f t="shared" ref="BE35:BE46" si="75">IF($X35=$BE$34,1,0)</f>
        <v>0</v>
      </c>
      <c r="BF35" s="78">
        <f t="shared" ref="BF35:BF46" si="76">IF($X35=$BF$34,1,0)</f>
        <v>0</v>
      </c>
      <c r="BG35" s="78">
        <f t="shared" ref="BG35:BG46" si="77">IF($X35=$BG$34,1,0)</f>
        <v>0</v>
      </c>
      <c r="BH35" s="78">
        <f t="shared" ref="BH35:BH46" si="78">IF($X35=$BH$34,1,0)</f>
        <v>0</v>
      </c>
      <c r="BI35" s="78">
        <f t="shared" ref="BI35:BI46" si="79">IF($X35=$BI$34,1,0)</f>
        <v>0</v>
      </c>
      <c r="BJ35" s="78">
        <f>SUM(AX35:BI35)</f>
        <v>0</v>
      </c>
      <c r="BK35" s="78">
        <f>COUNT(X35)</f>
        <v>0</v>
      </c>
      <c r="BP35" s="81"/>
      <c r="BQ35" s="81"/>
      <c r="BR35" s="81"/>
      <c r="BS35" s="81"/>
      <c r="BT35" s="328" t="s">
        <v>357</v>
      </c>
      <c r="BU35" s="81"/>
      <c r="BV35" s="81"/>
      <c r="BW35" s="81"/>
      <c r="BX35" s="81"/>
      <c r="BY35" s="81"/>
      <c r="BZ35" s="81"/>
      <c r="CA35" s="318"/>
      <c r="CB35" s="332" t="s">
        <v>13</v>
      </c>
      <c r="CC35" s="333">
        <v>1</v>
      </c>
      <c r="CD35" s="334">
        <v>2</v>
      </c>
      <c r="CE35" s="335">
        <v>3</v>
      </c>
      <c r="CF35" s="334">
        <v>4</v>
      </c>
      <c r="CG35" s="334">
        <v>5</v>
      </c>
      <c r="CH35" s="334">
        <v>6</v>
      </c>
      <c r="CI35" s="334">
        <v>7</v>
      </c>
      <c r="CJ35" s="334">
        <v>8</v>
      </c>
      <c r="CK35" s="334">
        <v>100</v>
      </c>
      <c r="CL35" s="334"/>
      <c r="CM35" s="334" t="s">
        <v>818</v>
      </c>
      <c r="CN35" s="336">
        <v>80</v>
      </c>
      <c r="CO35" s="337" t="s">
        <v>819</v>
      </c>
      <c r="CP35" s="336"/>
      <c r="CQ35" s="336"/>
      <c r="CR35" s="336"/>
      <c r="CS35" s="336"/>
      <c r="CT35" s="336"/>
      <c r="CU35" s="338">
        <v>60</v>
      </c>
      <c r="CV35" s="337" t="s">
        <v>819</v>
      </c>
      <c r="CW35" s="336"/>
      <c r="CX35" s="336"/>
      <c r="CY35" s="334"/>
      <c r="CZ35" s="334"/>
      <c r="DA35" s="334"/>
      <c r="DB35" s="338">
        <v>105</v>
      </c>
      <c r="DC35" s="337" t="s">
        <v>819</v>
      </c>
      <c r="DD35" s="336"/>
      <c r="DE35" s="336"/>
      <c r="DF35" s="334"/>
      <c r="DG35" s="334"/>
      <c r="DH35" s="334"/>
      <c r="DI35" s="338">
        <v>15</v>
      </c>
      <c r="DJ35" s="337" t="s">
        <v>819</v>
      </c>
      <c r="DK35" s="336"/>
      <c r="DL35" s="336"/>
      <c r="DM35" s="334"/>
      <c r="DN35" s="334"/>
      <c r="DO35" s="334"/>
      <c r="DP35" s="334"/>
      <c r="DQ35" s="334"/>
      <c r="DR35" s="263"/>
      <c r="DS35" s="339" t="s">
        <v>14</v>
      </c>
      <c r="DT35" s="333">
        <v>1</v>
      </c>
      <c r="DU35" s="334">
        <v>2</v>
      </c>
      <c r="DV35" s="335">
        <v>3</v>
      </c>
      <c r="DW35" s="334">
        <v>4</v>
      </c>
      <c r="DX35" s="334">
        <v>5</v>
      </c>
      <c r="DY35" s="334">
        <v>6</v>
      </c>
      <c r="DZ35" s="334">
        <v>7</v>
      </c>
      <c r="EA35" s="334">
        <v>8</v>
      </c>
      <c r="EB35" s="334">
        <v>9</v>
      </c>
      <c r="EC35" s="334">
        <v>10</v>
      </c>
      <c r="ED35" s="334" t="s">
        <v>818</v>
      </c>
      <c r="EE35" s="338">
        <v>105</v>
      </c>
      <c r="EF35" s="337" t="s">
        <v>820</v>
      </c>
      <c r="EG35" s="336"/>
      <c r="EH35" s="336"/>
      <c r="EI35" s="336"/>
      <c r="EJ35" s="336"/>
      <c r="EK35" s="336"/>
      <c r="EL35" s="338">
        <v>100</v>
      </c>
      <c r="EM35" s="337" t="s">
        <v>820</v>
      </c>
      <c r="EN35" s="336"/>
      <c r="EO35" s="336"/>
      <c r="EP35" s="336"/>
      <c r="EQ35" s="336"/>
      <c r="ER35" s="336"/>
      <c r="ES35" s="338">
        <v>90</v>
      </c>
      <c r="ET35" s="337" t="s">
        <v>820</v>
      </c>
      <c r="EU35" s="336"/>
      <c r="EV35" s="336"/>
      <c r="EW35" s="336"/>
      <c r="EX35" s="336"/>
      <c r="EY35" s="336"/>
      <c r="EZ35" s="338">
        <v>80</v>
      </c>
      <c r="FA35" s="337" t="s">
        <v>820</v>
      </c>
      <c r="FB35" s="336"/>
      <c r="FC35" s="336"/>
      <c r="FD35" s="336"/>
      <c r="FE35" s="336"/>
      <c r="FF35" s="336"/>
      <c r="FG35" s="338">
        <v>75</v>
      </c>
      <c r="FH35" s="337" t="s">
        <v>820</v>
      </c>
      <c r="FI35" s="336"/>
      <c r="FJ35" s="336"/>
      <c r="FK35" s="336"/>
      <c r="FL35" s="336"/>
      <c r="FM35" s="336"/>
      <c r="FN35" s="338">
        <v>60</v>
      </c>
      <c r="FO35" s="337" t="s">
        <v>820</v>
      </c>
      <c r="FP35" s="336"/>
      <c r="FQ35" s="336"/>
      <c r="FR35" s="336"/>
      <c r="FS35" s="336"/>
      <c r="FT35" s="336"/>
      <c r="FU35" s="338">
        <v>40</v>
      </c>
      <c r="FV35" s="337" t="s">
        <v>820</v>
      </c>
      <c r="FW35" s="336"/>
      <c r="FX35" s="336"/>
      <c r="FY35" s="336"/>
      <c r="FZ35" s="336"/>
      <c r="GA35" s="336"/>
      <c r="GB35" s="338">
        <v>30</v>
      </c>
      <c r="GC35" s="337" t="s">
        <v>820</v>
      </c>
      <c r="GD35" s="336"/>
      <c r="GE35" s="336"/>
      <c r="GF35" s="336"/>
      <c r="GG35" s="336"/>
      <c r="GH35" s="336"/>
      <c r="GI35" s="336"/>
      <c r="GJ35" s="336"/>
      <c r="GK35" s="263"/>
      <c r="GL35" s="340" t="s">
        <v>15</v>
      </c>
      <c r="GM35" s="333">
        <v>1</v>
      </c>
      <c r="GN35" s="334">
        <v>2</v>
      </c>
      <c r="GO35" s="335">
        <v>3</v>
      </c>
      <c r="GP35" s="334">
        <v>4</v>
      </c>
      <c r="GQ35" s="334">
        <v>5</v>
      </c>
      <c r="GR35" s="334">
        <v>6</v>
      </c>
      <c r="GS35" s="334">
        <v>7</v>
      </c>
      <c r="GT35" s="334">
        <v>8</v>
      </c>
      <c r="GU35" s="334">
        <v>100</v>
      </c>
      <c r="GV35" s="334"/>
      <c r="GW35" s="334" t="s">
        <v>818</v>
      </c>
      <c r="GX35" s="338">
        <v>105</v>
      </c>
      <c r="GY35" s="337" t="s">
        <v>821</v>
      </c>
      <c r="GZ35" s="336"/>
      <c r="HA35" s="336"/>
      <c r="HB35" s="336"/>
      <c r="HC35" s="336"/>
      <c r="HD35" s="336"/>
      <c r="HE35" s="338">
        <v>100</v>
      </c>
      <c r="HF35" s="337" t="s">
        <v>821</v>
      </c>
      <c r="HG35" s="336"/>
      <c r="HH35" s="336"/>
      <c r="HI35" s="336"/>
      <c r="HJ35" s="336"/>
      <c r="HK35" s="336"/>
      <c r="HL35" s="338">
        <v>90</v>
      </c>
      <c r="HM35" s="337" t="s">
        <v>821</v>
      </c>
      <c r="HN35" s="336"/>
      <c r="HO35" s="336"/>
      <c r="HP35" s="334"/>
      <c r="HQ35" s="263"/>
      <c r="HR35" s="263"/>
      <c r="HS35" s="336">
        <v>80</v>
      </c>
      <c r="HT35" s="337" t="s">
        <v>821</v>
      </c>
      <c r="HU35" s="336"/>
      <c r="HV35" s="336"/>
      <c r="HW35" s="336"/>
      <c r="HX35" s="336"/>
      <c r="HY35" s="336"/>
      <c r="HZ35" s="336">
        <v>60</v>
      </c>
      <c r="IA35" s="337" t="s">
        <v>821</v>
      </c>
      <c r="IB35" s="336"/>
      <c r="IC35" s="336"/>
      <c r="ID35" s="336"/>
      <c r="IE35" s="336"/>
      <c r="IF35" s="336"/>
      <c r="IG35" s="320"/>
      <c r="IH35" s="572" t="s">
        <v>822</v>
      </c>
      <c r="II35" s="573"/>
      <c r="IJ35" s="574"/>
      <c r="IK35" s="44"/>
      <c r="IL35" s="280"/>
      <c r="IM35" s="280">
        <v>1</v>
      </c>
      <c r="IN35" s="341">
        <f t="shared" ref="IN35:IN46" si="80">AA115</f>
        <v>0</v>
      </c>
      <c r="IO35" s="196" t="str">
        <f>IF(IN35=1,JT35," ")</f>
        <v xml:space="preserve"> </v>
      </c>
      <c r="IP35" s="342" t="str">
        <f>IF(IR35&gt;100,"??",IO35)</f>
        <v xml:space="preserve"> </v>
      </c>
      <c r="IQ35" s="280">
        <f>IF(IR35&gt;100,1,0)</f>
        <v>0</v>
      </c>
      <c r="IR35" s="196">
        <f t="shared" ref="IR35:IR46" si="81">Y35</f>
        <v>0</v>
      </c>
      <c r="IS35" s="280">
        <f t="shared" ref="IS35:IS51" si="82">IF(AND($IR35&gt;=$IS$30,$IR35&lt;$IT$30),IS$32,0)</f>
        <v>1</v>
      </c>
      <c r="IT35" s="280">
        <f t="shared" ref="IT35:IT51" si="83">IF(AND($IR35&gt;=$IT$30,$IR35&lt;$IU$30),IT$32,0)</f>
        <v>0</v>
      </c>
      <c r="IU35" s="280">
        <f t="shared" ref="IU35:IU51" si="84">IF(AND($IR35&gt;=$IU$30,$IR35&lt;$IV$30),IU$32,0)</f>
        <v>0</v>
      </c>
      <c r="IV35" s="280">
        <f t="shared" ref="IV35:IV51" si="85">IF(AND($IR35&gt;=$IV$30,$IR35&lt;$IW$30),IV$32,0)</f>
        <v>0</v>
      </c>
      <c r="IW35" s="280">
        <f t="shared" ref="IW35:IW51" si="86">IF(AND($IR35&gt;=$IW$30,$IR35&lt;$IX$30),IW$32,0)</f>
        <v>0</v>
      </c>
      <c r="IX35" s="280">
        <f t="shared" ref="IX35:IX51" si="87">IF(AND($IR35&gt;=$IX$30,$IR35&lt;$IY$30),IX$32,0)</f>
        <v>0</v>
      </c>
      <c r="IY35" s="280">
        <f t="shared" ref="IY35:IY51" si="88">IF(AND($IR35&gt;=$IY$30,$IR35&lt;$IZ$30),IY$32,0)</f>
        <v>0</v>
      </c>
      <c r="IZ35" s="280">
        <f t="shared" ref="IZ35:IZ51" si="89">IF(AND($IR35&gt;=$IZ$30,$IR35&lt;$JA$30),IZ$32,0)</f>
        <v>0</v>
      </c>
      <c r="JA35" s="280">
        <f t="shared" ref="JA35:JA51" si="90">IF(AND($IR35&gt;=$JA$30,$IR35&lt;$JB$30),JA$32,0)</f>
        <v>0</v>
      </c>
      <c r="JB35" s="280">
        <f t="shared" ref="JB35:JB51" si="91">IF(AND($IR35&gt;=$JB$30,$IR35&lt;$JC$30),JB$32,0)</f>
        <v>0</v>
      </c>
      <c r="JC35" s="280">
        <f t="shared" ref="JC35:JC51" si="92">IF(AND($IR35&gt;=$JC$30,$IR35&lt;$JD$30),JC$32,0)</f>
        <v>0</v>
      </c>
      <c r="JD35" s="280">
        <f t="shared" ref="JD35:JD51" si="93">IF(AND($IR35&gt;=$JD$30,$IR35&lt;$JE$30),JD$32,0)</f>
        <v>0</v>
      </c>
      <c r="JE35" s="280">
        <f t="shared" ref="JE35:JE51" si="94">IF(AND($IR35&gt;=$JE$30,$IR35&lt;$JF$30),JE$32,0)</f>
        <v>0</v>
      </c>
      <c r="JF35" s="280">
        <f t="shared" ref="JF35:JF51" si="95">IF(AND($IR35&gt;=$JF$30,$IR35&lt;$JG$30),JF$32,0)</f>
        <v>0</v>
      </c>
      <c r="JG35" s="280">
        <f t="shared" ref="JG35:JG51" si="96">IF(AND($IR35&gt;=$JG$30,$IR35&lt;$JH$30),JG$32,0)</f>
        <v>0</v>
      </c>
      <c r="JH35" s="280">
        <f t="shared" ref="JH35:JH51" si="97">IF(AND($IR35&gt;=$JH$30,$IR35&lt;$JI$30),JH$32,0)</f>
        <v>0</v>
      </c>
      <c r="JI35" s="280">
        <f t="shared" ref="JI35:JI51" si="98">IF(AND($IR35&gt;=$JI$30,$IR35&lt;$JJ$30),JI$32,0)</f>
        <v>0</v>
      </c>
      <c r="JJ35" s="280">
        <f t="shared" ref="JJ35:JJ51" si="99">IF(AND($IR35&gt;=$JJ$30,$IR35&lt;$JK$30),JJ$32,0)</f>
        <v>0</v>
      </c>
      <c r="JK35" s="280">
        <f t="shared" ref="JK35:JK51" si="100">IF(AND($IR35&gt;=$JK$30,$IR35&lt;$JL$30),JK$32,0)</f>
        <v>0</v>
      </c>
      <c r="JL35" s="280">
        <f t="shared" ref="JL35:JL51" si="101">IF(AND($IR35&gt;=$JL$30,$IR35&lt;$JM$30),JL$32,0)</f>
        <v>0</v>
      </c>
      <c r="JM35" s="280">
        <f t="shared" ref="JM35:JM51" si="102">IF(AND($IR35&gt;=$JM$30,$IR35&lt;$JN$30),JM$32,0)</f>
        <v>0</v>
      </c>
      <c r="JN35" s="280">
        <f t="shared" ref="JN35:JN51" si="103">IF(AND($IR35&gt;=$JN$30,$IR35&lt;$JO$30),JN$32,0)</f>
        <v>0</v>
      </c>
      <c r="JO35" s="280">
        <f t="shared" ref="JO35:JO51" si="104">IF(AND($IR35&gt;=$JO$30,$IR35&lt;$JP$30),JO$32,0)</f>
        <v>0</v>
      </c>
      <c r="JP35" s="280">
        <f t="shared" ref="JP35:JP51" si="105">IF(AND($IR35&gt;=$JP$30,$IR35&lt;$JQ$30),JP$32,0)</f>
        <v>0</v>
      </c>
      <c r="JQ35" s="280">
        <f t="shared" ref="JQ35:JQ51" si="106">IF(AND($IR35&gt;=$JQ$30,$IR35&lt;$JR$30),JQ$32,0)</f>
        <v>0</v>
      </c>
      <c r="JR35" s="280">
        <f t="shared" ref="JR35:JR51" si="107">IF(AND($IR35&gt;=$JR$30,$IR35&lt;$JS$30),JR$32,0)</f>
        <v>0</v>
      </c>
      <c r="JS35" s="44">
        <f>SUM(IS35:JR35)</f>
        <v>1</v>
      </c>
      <c r="JT35" s="343" t="str">
        <f>HLOOKUP(JS35,$IS$32:$JR$33,2,0)</f>
        <v>F</v>
      </c>
      <c r="JU35" s="44"/>
      <c r="JV35" s="280">
        <f>IF(AND($IR35&gt;=$JV$30,$IR35&lt;$JW$30),JV$32,0)</f>
        <v>1</v>
      </c>
      <c r="JW35" s="280">
        <f t="shared" ref="JW35:JW51" si="108">IF(AND($IR35&gt;=$JW$30,$IR35&lt;$JX$30),JW$32,0)</f>
        <v>0</v>
      </c>
      <c r="JX35" s="280">
        <f t="shared" ref="JX35:JX51" si="109">IF(AND($IR35&gt;=$JX$30,$IR35&lt;$JY$30),JX$32,0)</f>
        <v>0</v>
      </c>
      <c r="JY35" s="280">
        <f t="shared" ref="JY35:JY51" si="110">IF(AND($IR35&gt;=$JY$30,$IR35&lt;$JZ$30),JY$32,0)</f>
        <v>0</v>
      </c>
      <c r="JZ35" s="280">
        <f t="shared" ref="JZ35:JZ51" si="111">IF(AND($IR35&gt;=$JZ$30,$IR35&lt;$KA$30),JZ$32,0)</f>
        <v>0</v>
      </c>
      <c r="KA35" s="280">
        <f t="shared" ref="KA35:KA51" si="112">IF(AND($IR35&gt;=$KA$30,$IR35&lt;$KB$30),KA$32,0)</f>
        <v>0</v>
      </c>
      <c r="KB35" s="44">
        <f>SUM(JV35:KA35)</f>
        <v>1</v>
      </c>
      <c r="KC35" s="343" t="str">
        <f>HLOOKUP(KB35,$JV$32:$KB$33,2,0)</f>
        <v>F</v>
      </c>
      <c r="KD35" s="280"/>
      <c r="KE35" s="280"/>
      <c r="KF35" s="280"/>
      <c r="KG35" s="280"/>
      <c r="KH35" s="280"/>
      <c r="KI35" s="280"/>
      <c r="KJ35" s="280"/>
      <c r="KK35" s="280"/>
      <c r="KW35" s="344"/>
      <c r="KX35" s="81"/>
      <c r="KY35" s="268"/>
      <c r="KZ35" s="268"/>
      <c r="LB35" s="345">
        <v>1</v>
      </c>
      <c r="LC35" s="346" t="s">
        <v>823</v>
      </c>
      <c r="LD35" s="169" t="s">
        <v>824</v>
      </c>
      <c r="LE35" s="347" t="s">
        <v>825</v>
      </c>
      <c r="LF35" s="169"/>
      <c r="LG35" s="169"/>
      <c r="LH35" s="169"/>
      <c r="LI35" s="169"/>
      <c r="LJ35" s="169"/>
      <c r="LK35" s="169"/>
      <c r="LL35" s="169"/>
      <c r="LM35" s="169"/>
      <c r="LN35" s="348"/>
    </row>
    <row r="36" spans="19:333" ht="16.149999999999999" customHeight="1" x14ac:dyDescent="0.25">
      <c r="S36" s="653"/>
      <c r="T36" s="1531"/>
      <c r="U36" s="1534" t="str">
        <f t="shared" si="63"/>
        <v/>
      </c>
      <c r="V36" s="1520"/>
      <c r="W36" s="1521"/>
      <c r="X36" s="817"/>
      <c r="Y36" s="862"/>
      <c r="Z36" s="1114" t="str">
        <f t="shared" si="64"/>
        <v xml:space="preserve"> </v>
      </c>
      <c r="AA36" s="276"/>
      <c r="AB36" s="1504" t="str">
        <f t="shared" si="65"/>
        <v/>
      </c>
      <c r="AC36" s="1505"/>
      <c r="AD36" s="1506"/>
      <c r="AE36" s="817"/>
      <c r="AF36" s="862"/>
      <c r="AG36" s="554" t="str">
        <f t="shared" si="66"/>
        <v xml:space="preserve"> </v>
      </c>
      <c r="AH36" s="276"/>
      <c r="AI36" s="1504" t="str">
        <f>BC116</f>
        <v/>
      </c>
      <c r="AJ36" s="1505"/>
      <c r="AK36" s="1506"/>
      <c r="AL36" s="817"/>
      <c r="AM36" s="862"/>
      <c r="AN36" s="1114" t="str">
        <f t="shared" si="67"/>
        <v xml:space="preserve"> </v>
      </c>
      <c r="AO36" s="348"/>
      <c r="AP36" s="719"/>
      <c r="AQ36" s="719"/>
      <c r="AR36" s="285"/>
      <c r="AS36" s="720"/>
      <c r="AT36" s="719"/>
      <c r="AU36" s="126"/>
      <c r="AV36" s="126"/>
      <c r="AW36" s="653"/>
      <c r="AX36" s="78">
        <f t="shared" si="68"/>
        <v>0</v>
      </c>
      <c r="AY36" s="78">
        <f t="shared" si="69"/>
        <v>0</v>
      </c>
      <c r="AZ36" s="78">
        <f t="shared" si="70"/>
        <v>0</v>
      </c>
      <c r="BA36" s="78">
        <f t="shared" si="71"/>
        <v>0</v>
      </c>
      <c r="BB36" s="78">
        <f t="shared" si="72"/>
        <v>0</v>
      </c>
      <c r="BC36" s="78">
        <f t="shared" si="73"/>
        <v>0</v>
      </c>
      <c r="BD36" s="78">
        <f t="shared" si="74"/>
        <v>0</v>
      </c>
      <c r="BE36" s="78">
        <f t="shared" si="75"/>
        <v>0</v>
      </c>
      <c r="BF36" s="78">
        <f t="shared" si="76"/>
        <v>0</v>
      </c>
      <c r="BG36" s="78">
        <f t="shared" si="77"/>
        <v>0</v>
      </c>
      <c r="BH36" s="78">
        <f t="shared" si="78"/>
        <v>0</v>
      </c>
      <c r="BI36" s="78">
        <f t="shared" si="79"/>
        <v>0</v>
      </c>
      <c r="BJ36" s="78">
        <f t="shared" ref="BJ36:BJ46" si="113">SUM(AX36:BI36)</f>
        <v>0</v>
      </c>
      <c r="BK36" s="78">
        <f t="shared" ref="BK36:BK46" si="114">COUNT(X36)</f>
        <v>0</v>
      </c>
      <c r="BP36" s="81"/>
      <c r="BQ36" s="8" t="s">
        <v>13</v>
      </c>
      <c r="BR36" s="8" t="s">
        <v>14</v>
      </c>
      <c r="BS36" s="8" t="s">
        <v>15</v>
      </c>
      <c r="BT36" s="8" t="s">
        <v>13</v>
      </c>
      <c r="BU36" s="8" t="s">
        <v>14</v>
      </c>
      <c r="BV36" s="8" t="s">
        <v>15</v>
      </c>
      <c r="BW36" s="350" t="s">
        <v>826</v>
      </c>
      <c r="BX36" s="81"/>
      <c r="BY36" s="81"/>
      <c r="BZ36" s="81">
        <v>1</v>
      </c>
      <c r="CA36" s="251">
        <v>1E-4</v>
      </c>
      <c r="CB36" s="351">
        <f>AA115</f>
        <v>0</v>
      </c>
      <c r="CC36" s="251" t="str">
        <f t="shared" ref="CC36:CC45" si="115">IF(CB36=1,(CB15+CA36),"X")</f>
        <v>X</v>
      </c>
      <c r="CD36" s="251" t="str">
        <f t="shared" ref="CD36:CD47" si="116">IF(CB36=1,X35,"X")</f>
        <v>X</v>
      </c>
      <c r="CE36" s="251" t="e">
        <f>RANK(CC36,$CC$36:$CC$47,2)</f>
        <v>#VALUE!</v>
      </c>
      <c r="CF36" s="352">
        <v>1</v>
      </c>
      <c r="CG36" s="353" t="e">
        <f>SMALL($CC$36:$CC$47,CF36)</f>
        <v>#NUM!</v>
      </c>
      <c r="CH36" s="354" t="e">
        <f>VLOOKUP(CG36,$CC$36:$CD$47,2,0)</f>
        <v>#NUM!</v>
      </c>
      <c r="CI36" s="355">
        <f>IF(CB36=1,CH36,0)</f>
        <v>0</v>
      </c>
      <c r="CJ36" s="251" t="e">
        <f>RANK(CG36,$CG$36:$CG$47,2)</f>
        <v>#NUM!</v>
      </c>
      <c r="CK36" s="218">
        <f>CI36+CK37</f>
        <v>0</v>
      </c>
      <c r="CL36" s="356">
        <f>CI36</f>
        <v>0</v>
      </c>
      <c r="CM36" s="357" t="e">
        <f>ROUND(CG36,0)</f>
        <v>#NUM!</v>
      </c>
      <c r="CN36" s="218">
        <f>IF(CK36&gt;CN$35,0,CI36)</f>
        <v>0</v>
      </c>
      <c r="CO36" s="218" t="str">
        <f>IF(CB36=1,CN36,"x")</f>
        <v>x</v>
      </c>
      <c r="CP36" s="358">
        <f>IF(CO36=0,1,0)</f>
        <v>0</v>
      </c>
      <c r="CQ36" s="358">
        <f>CP36+CQ37</f>
        <v>0</v>
      </c>
      <c r="CR36" s="359">
        <f>IF(CQ36=1,$CN$49,0)</f>
        <v>0</v>
      </c>
      <c r="CS36" s="360">
        <f>CR36+CN36</f>
        <v>0</v>
      </c>
      <c r="CT36" s="361" t="e">
        <f>CS36*CM36</f>
        <v>#NUM!</v>
      </c>
      <c r="CU36" s="362">
        <f>IF(CK36&gt;CU$35,0,CI36)</f>
        <v>0</v>
      </c>
      <c r="CV36" s="218" t="str">
        <f>IF(CB36=1,CU36,"x")</f>
        <v>x</v>
      </c>
      <c r="CW36" s="358">
        <f>IF(CV36=0,1,0)</f>
        <v>0</v>
      </c>
      <c r="CX36" s="358">
        <f>CW36+CX37</f>
        <v>0</v>
      </c>
      <c r="CY36" s="359">
        <f>IF(CX36=1,$CU$49,0)</f>
        <v>0</v>
      </c>
      <c r="CZ36" s="360">
        <f>CY36+CU36</f>
        <v>0</v>
      </c>
      <c r="DA36" s="361" t="e">
        <f>CZ36*CM36</f>
        <v>#NUM!</v>
      </c>
      <c r="DB36" s="362">
        <f>IF(CK36&gt;DB$35,0,CI36)</f>
        <v>0</v>
      </c>
      <c r="DC36" s="218" t="str">
        <f>IF(CB36=1,DB36,"x")</f>
        <v>x</v>
      </c>
      <c r="DD36" s="358">
        <f>IF(DC36=0,1,0)</f>
        <v>0</v>
      </c>
      <c r="DE36" s="358">
        <f>DD36+DE37</f>
        <v>0</v>
      </c>
      <c r="DF36" s="359">
        <f>IF(DE36=1,$DB$49,0)</f>
        <v>0</v>
      </c>
      <c r="DG36" s="360">
        <f>DF36+DB36</f>
        <v>0</v>
      </c>
      <c r="DH36" s="361" t="e">
        <f>DG36*CM36</f>
        <v>#NUM!</v>
      </c>
      <c r="DI36" s="362">
        <f>IF(CK36&gt;DI$35,0,CI36)</f>
        <v>0</v>
      </c>
      <c r="DJ36" s="218" t="str">
        <f>IF(CB36=1,DI36,"x")</f>
        <v>x</v>
      </c>
      <c r="DK36" s="358">
        <f>IF(DJ36=0,1,0)</f>
        <v>0</v>
      </c>
      <c r="DL36" s="358">
        <f>DK36+DL37</f>
        <v>0</v>
      </c>
      <c r="DM36" s="359">
        <f>IF(DL36=1,$DI$49,0)</f>
        <v>0</v>
      </c>
      <c r="DN36" s="360">
        <f>DM36+DI36</f>
        <v>0</v>
      </c>
      <c r="DO36" s="361" t="e">
        <f>DN36*CM36</f>
        <v>#NUM!</v>
      </c>
      <c r="DP36" s="361"/>
      <c r="DQ36" s="361">
        <v>1</v>
      </c>
      <c r="DR36" s="251">
        <v>1E-4</v>
      </c>
      <c r="DS36" s="351">
        <f>AH115</f>
        <v>0</v>
      </c>
      <c r="DT36" s="251" t="str">
        <f t="shared" ref="DT36:DT45" si="117">IF(DS36=1,(DS15+DR36),"X")</f>
        <v>X</v>
      </c>
      <c r="DU36" s="251" t="str">
        <f t="shared" ref="DU36:DU47" si="118">IF(DS36=1,AE35,"X")</f>
        <v>X</v>
      </c>
      <c r="DV36" s="251" t="e">
        <f>RANK(DT36,$DT$36:$DT$47,2)</f>
        <v>#VALUE!</v>
      </c>
      <c r="DW36" s="352">
        <v>1</v>
      </c>
      <c r="DX36" s="354" t="e">
        <f>SMALL($DT$36:$DT$47,DW36)</f>
        <v>#NUM!</v>
      </c>
      <c r="DY36" s="354" t="e">
        <f>VLOOKUP(DX36,$DT$36:$DU$47,2,0)</f>
        <v>#NUM!</v>
      </c>
      <c r="DZ36" s="355">
        <f>IF(DS36=1,DY36,0)</f>
        <v>0</v>
      </c>
      <c r="EA36" s="251" t="e">
        <f>RANK(DX36,$DX$36:$DX$47,2)</f>
        <v>#NUM!</v>
      </c>
      <c r="EB36" s="218">
        <f>DZ36+EB37</f>
        <v>0</v>
      </c>
      <c r="EC36" s="356">
        <f>DZ36</f>
        <v>0</v>
      </c>
      <c r="ED36" s="587" t="e">
        <f>ROUND(DX36,0)</f>
        <v>#NUM!</v>
      </c>
      <c r="EE36" s="362">
        <f t="shared" ref="EE36:EE47" si="119">IF($EB36&gt;EE$35,0,$DZ36)</f>
        <v>0</v>
      </c>
      <c r="EF36" s="218" t="str">
        <f t="shared" ref="EF36:EF47" si="120">IF($DS36=1,EE36,"x")</f>
        <v>x</v>
      </c>
      <c r="EG36" s="608">
        <f t="shared" ref="EG36:EG47" si="121">IF(EF36=0,1,0)</f>
        <v>0</v>
      </c>
      <c r="EH36" s="608">
        <f t="shared" ref="EH36:EH46" si="122">EG36+EH37</f>
        <v>0</v>
      </c>
      <c r="EI36" s="359">
        <f>IF(EH36=1,EE49,0)</f>
        <v>0</v>
      </c>
      <c r="EJ36" s="360">
        <f t="shared" ref="EJ36:EJ47" si="123">EI36+EE36</f>
        <v>0</v>
      </c>
      <c r="EK36" s="361" t="e">
        <f t="shared" ref="EK36:EK47" si="124">EJ36*$ED36</f>
        <v>#NUM!</v>
      </c>
      <c r="EL36" s="362">
        <f t="shared" ref="EL36:EL47" si="125">IF($EB36&gt;EL$35,0,$DZ36)</f>
        <v>0</v>
      </c>
      <c r="EM36" s="218" t="str">
        <f t="shared" ref="EM36:EM47" si="126">IF($DS36=1,EL36,"x")</f>
        <v>x</v>
      </c>
      <c r="EN36" s="358">
        <f>IF(EM36=0,1,0)</f>
        <v>0</v>
      </c>
      <c r="EO36" s="358">
        <f>EN36+EO37</f>
        <v>0</v>
      </c>
      <c r="EP36" s="359">
        <f>IF(EO36=1,EL49,0)</f>
        <v>0</v>
      </c>
      <c r="EQ36" s="360">
        <f>EP36+EL36</f>
        <v>0</v>
      </c>
      <c r="ER36" s="361" t="e">
        <f t="shared" ref="ER36:ER47" si="127">EQ36*$ED36</f>
        <v>#NUM!</v>
      </c>
      <c r="ES36" s="362">
        <f t="shared" ref="ES36:ES47" si="128">IF($EB36&gt;ES$35,0,$DZ36)</f>
        <v>0</v>
      </c>
      <c r="ET36" s="218" t="str">
        <f t="shared" ref="ET36:ET47" si="129">IF($DS36=1,ES36,"x")</f>
        <v>x</v>
      </c>
      <c r="EU36" s="358">
        <f>IF(ET36=0,1,0)</f>
        <v>0</v>
      </c>
      <c r="EV36" s="358">
        <f>EU36+EV37</f>
        <v>0</v>
      </c>
      <c r="EW36" s="359">
        <f>IF(EV36=1,ES49,0)</f>
        <v>0</v>
      </c>
      <c r="EX36" s="360">
        <f>EW36+ES36</f>
        <v>0</v>
      </c>
      <c r="EY36" s="361" t="e">
        <f t="shared" ref="EY36:EY47" si="130">EX36*$ED36</f>
        <v>#NUM!</v>
      </c>
      <c r="EZ36" s="362">
        <f t="shared" ref="EZ36:EZ47" si="131">IF($EB36&gt;EZ$35,0,$DZ36)</f>
        <v>0</v>
      </c>
      <c r="FA36" s="218" t="str">
        <f t="shared" ref="FA36:FA47" si="132">IF($DS36=1,EZ36,"x")</f>
        <v>x</v>
      </c>
      <c r="FB36" s="358">
        <f>IF(FA36=0,1,0)</f>
        <v>0</v>
      </c>
      <c r="FC36" s="358">
        <f>FB36+FC37</f>
        <v>0</v>
      </c>
      <c r="FD36" s="359">
        <f>IF(FC36=1,EZ49,0)</f>
        <v>0</v>
      </c>
      <c r="FE36" s="360">
        <f>FD36+EZ36</f>
        <v>0</v>
      </c>
      <c r="FF36" s="361" t="e">
        <f t="shared" ref="FF36:FF47" si="133">FE36*$ED36</f>
        <v>#NUM!</v>
      </c>
      <c r="FG36" s="362">
        <f t="shared" ref="FG36:FG47" si="134">IF($EB36&gt;FG$35,0,$DZ36)</f>
        <v>0</v>
      </c>
      <c r="FH36" s="218" t="str">
        <f t="shared" ref="FH36:FH47" si="135">IF($DS36=1,FG36,"x")</f>
        <v>x</v>
      </c>
      <c r="FI36" s="358">
        <f>IF(FH36=0,1,0)</f>
        <v>0</v>
      </c>
      <c r="FJ36" s="358">
        <f>FI36+FJ37</f>
        <v>0</v>
      </c>
      <c r="FK36" s="359">
        <f>IF(FJ36=1,FG49,0)</f>
        <v>0</v>
      </c>
      <c r="FL36" s="360">
        <f>FK36+FG36</f>
        <v>0</v>
      </c>
      <c r="FM36" s="361" t="e">
        <f t="shared" ref="FM36:FM47" si="136">FL36*$ED36</f>
        <v>#NUM!</v>
      </c>
      <c r="FN36" s="362">
        <f t="shared" ref="FN36:FN47" si="137">IF($EB36&gt;FN$35,0,$DZ36)</f>
        <v>0</v>
      </c>
      <c r="FO36" s="218" t="str">
        <f t="shared" ref="FO36:FO47" si="138">IF($DS36=1,FN36,"x")</f>
        <v>x</v>
      </c>
      <c r="FP36" s="358">
        <f>IF(FO36=0,1,0)</f>
        <v>0</v>
      </c>
      <c r="FQ36" s="358">
        <f>FP36+FQ37</f>
        <v>0</v>
      </c>
      <c r="FR36" s="359">
        <f>IF(FQ36=1,FN49,0)</f>
        <v>0</v>
      </c>
      <c r="FS36" s="360">
        <f>FR36+FN36</f>
        <v>0</v>
      </c>
      <c r="FT36" s="361" t="e">
        <f t="shared" ref="FT36:FT47" si="139">FS36*$ED36</f>
        <v>#NUM!</v>
      </c>
      <c r="FU36" s="362">
        <f t="shared" ref="FU36:FU47" si="140">IF($EB36&gt;FU$35,0,$DZ36)</f>
        <v>0</v>
      </c>
      <c r="FV36" s="218" t="str">
        <f t="shared" ref="FV36:FV47" si="141">IF($DS36=1,FU36,"x")</f>
        <v>x</v>
      </c>
      <c r="FW36" s="358">
        <f>IF(FV36=0,1,0)</f>
        <v>0</v>
      </c>
      <c r="FX36" s="358">
        <f>FW36+FX37</f>
        <v>0</v>
      </c>
      <c r="FY36" s="359">
        <f>IF(FX36=1,FU49,0)</f>
        <v>0</v>
      </c>
      <c r="FZ36" s="360">
        <f>FY36+FU36</f>
        <v>0</v>
      </c>
      <c r="GA36" s="361" t="e">
        <f t="shared" ref="GA36:GA47" si="142">FZ36*$ED36</f>
        <v>#NUM!</v>
      </c>
      <c r="GB36" s="362">
        <f t="shared" ref="GB36:GB47" si="143">IF($EB36&gt;GB$35,0,$DZ36)</f>
        <v>0</v>
      </c>
      <c r="GC36" s="218" t="str">
        <f t="shared" ref="GC36:GC47" si="144">IF($DS36=1,GB36,"x")</f>
        <v>x</v>
      </c>
      <c r="GD36" s="358">
        <f>IF(GC36=0,1,0)</f>
        <v>0</v>
      </c>
      <c r="GE36" s="358">
        <f>GD36+GE37</f>
        <v>0</v>
      </c>
      <c r="GF36" s="359">
        <f>IF(GE36=1,GB49,0)</f>
        <v>0</v>
      </c>
      <c r="GG36" s="360">
        <f>GF36+GB36</f>
        <v>0</v>
      </c>
      <c r="GH36" s="361" t="e">
        <f t="shared" ref="GH36:GH47" si="145">GG36*$ED36</f>
        <v>#NUM!</v>
      </c>
      <c r="GI36" s="361"/>
      <c r="GJ36" s="361"/>
      <c r="GK36" s="251">
        <v>1E-4</v>
      </c>
      <c r="GL36" s="351">
        <f t="shared" ref="GL36:GL48" si="146">AO115</f>
        <v>0</v>
      </c>
      <c r="GM36" s="251" t="str">
        <f t="shared" ref="GM36:GM45" si="147">IF(GL36=1,(GL15+GK36),"X")</f>
        <v>X</v>
      </c>
      <c r="GN36" s="251" t="str">
        <f t="shared" ref="GN36:GN47" si="148">IF(GL36=1,AL35,"X")</f>
        <v>X</v>
      </c>
      <c r="GO36" s="251" t="e">
        <f>RANK(GM36,$GM$36:$GM$47,2)</f>
        <v>#VALUE!</v>
      </c>
      <c r="GP36" s="352">
        <v>1</v>
      </c>
      <c r="GQ36" s="354" t="e">
        <f>SMALL($GM$36:$GM$47,GP36)</f>
        <v>#NUM!</v>
      </c>
      <c r="GR36" s="354" t="e">
        <f>VLOOKUP(GQ36,$GM$36:$GN$47,2,0)</f>
        <v>#NUM!</v>
      </c>
      <c r="GS36" s="355">
        <f>IF(GL36=1,GR36,0)</f>
        <v>0</v>
      </c>
      <c r="GT36" s="251" t="e">
        <f>RANK(GQ36,$GQ$36:$GQ$47,2)</f>
        <v>#NUM!</v>
      </c>
      <c r="GU36" s="218">
        <f>GS36+GU37</f>
        <v>0</v>
      </c>
      <c r="GV36" s="356">
        <f>GS36</f>
        <v>0</v>
      </c>
      <c r="GW36" s="587" t="e">
        <f>ROUND(GQ36,0)</f>
        <v>#NUM!</v>
      </c>
      <c r="GX36" s="362">
        <f>IF($GU36&gt;GX$35,0,$GS36)</f>
        <v>0</v>
      </c>
      <c r="GY36" s="218" t="str">
        <f>IF($GL36=1,GX36,"x")</f>
        <v>x</v>
      </c>
      <c r="GZ36" s="358">
        <f>IF(GY36=0,1,0)</f>
        <v>0</v>
      </c>
      <c r="HA36" s="358">
        <f>GZ36+HA37</f>
        <v>0</v>
      </c>
      <c r="HB36" s="359">
        <f>IF(HA36=1,$GX$49,0)</f>
        <v>0</v>
      </c>
      <c r="HC36" s="360">
        <f>HB36+GX36</f>
        <v>0</v>
      </c>
      <c r="HD36" s="361" t="e">
        <f>HC36*GW36</f>
        <v>#NUM!</v>
      </c>
      <c r="HE36" s="362">
        <f>IF(GU36&gt;100,0,GS36)</f>
        <v>0</v>
      </c>
      <c r="HF36" s="218" t="str">
        <f t="shared" ref="HF36:HF47" si="149">IF(GL36=1,HE36,"x")</f>
        <v>x</v>
      </c>
      <c r="HG36" s="358">
        <f>IF(HF36=0,1,0)</f>
        <v>0</v>
      </c>
      <c r="HH36" s="358">
        <f>HG36+HH37</f>
        <v>0</v>
      </c>
      <c r="HI36" s="359">
        <f>IF(HH36=1,$HE$49,0)</f>
        <v>0</v>
      </c>
      <c r="HJ36" s="360">
        <f>HI36+HE36</f>
        <v>0</v>
      </c>
      <c r="HK36" s="361" t="e">
        <f t="shared" ref="HK36:HK47" si="150">HJ36*GW36</f>
        <v>#NUM!</v>
      </c>
      <c r="HL36" s="362">
        <f>IF(GU36&gt;90,0,GS36)</f>
        <v>0</v>
      </c>
      <c r="HM36" s="218" t="str">
        <f t="shared" ref="HM36:HM47" si="151">IF(GL36=1,HL36,"x")</f>
        <v>x</v>
      </c>
      <c r="HN36" s="358">
        <f>IF(HM36=0,1,0)</f>
        <v>0</v>
      </c>
      <c r="HO36" s="358">
        <f>HN36+HO37</f>
        <v>0</v>
      </c>
      <c r="HP36" s="359">
        <f>IF(HO36=1,$HL$49,0)</f>
        <v>0</v>
      </c>
      <c r="HQ36" s="360">
        <f>HP36+HL36</f>
        <v>0</v>
      </c>
      <c r="HR36" s="361" t="e">
        <f t="shared" ref="HR36:HR47" si="152">HQ36*GW36</f>
        <v>#NUM!</v>
      </c>
      <c r="HS36" s="362">
        <f>IF($GU36&gt;HS$35,0,$GS36)</f>
        <v>0</v>
      </c>
      <c r="HT36" s="218" t="str">
        <f>IF(GL36=1,HS36,"x")</f>
        <v>x</v>
      </c>
      <c r="HU36" s="358">
        <f>IF(HT36=0,1,0)</f>
        <v>0</v>
      </c>
      <c r="HV36" s="358">
        <f>HU36+HV37</f>
        <v>0</v>
      </c>
      <c r="HW36" s="359">
        <f>IF(HV36=1,$HS$49,0)</f>
        <v>0</v>
      </c>
      <c r="HX36" s="360">
        <f>HW36+HS36</f>
        <v>0</v>
      </c>
      <c r="HY36" s="361" t="e">
        <f>HX36*GW36</f>
        <v>#NUM!</v>
      </c>
      <c r="HZ36" s="362">
        <f>IF($GU36&gt;HZ$35,0,$GS36)</f>
        <v>0</v>
      </c>
      <c r="IA36" s="218" t="str">
        <f>IF(GL36=1,HZ36,"x")</f>
        <v>x</v>
      </c>
      <c r="IB36" s="358">
        <f>IF(IA36=0,1,0)</f>
        <v>0</v>
      </c>
      <c r="IC36" s="358">
        <f>IB36+IC37</f>
        <v>0</v>
      </c>
      <c r="ID36" s="359">
        <f>IF(IC36=1,$HZ$49,0)</f>
        <v>0</v>
      </c>
      <c r="IE36" s="360">
        <f>ID36+HZ36</f>
        <v>0</v>
      </c>
      <c r="IF36" s="361" t="e">
        <f>IE36*GW36</f>
        <v>#NUM!</v>
      </c>
      <c r="IG36" s="594"/>
      <c r="IH36" s="575">
        <f>IF(HG36=1,GV36-HJ36,0)</f>
        <v>0</v>
      </c>
      <c r="II36" s="363">
        <f t="shared" ref="II36:II47" si="153">IF(HG36=1,GW36,0)</f>
        <v>0</v>
      </c>
      <c r="IJ36" s="576">
        <f>IF(IH36&gt;0,1,0)</f>
        <v>0</v>
      </c>
      <c r="IK36" s="44"/>
      <c r="IL36" s="280"/>
      <c r="IM36" s="280">
        <f>IM35+1</f>
        <v>2</v>
      </c>
      <c r="IN36" s="341">
        <f t="shared" si="80"/>
        <v>0</v>
      </c>
      <c r="IO36" s="196" t="str">
        <f t="shared" ref="IO36:IO70" si="154">IF(IN36=1,JT36," ")</f>
        <v xml:space="preserve"> </v>
      </c>
      <c r="IP36" s="342" t="str">
        <f t="shared" ref="IP36:IP58" si="155">IF(IR36&gt;100,"??",IO36)</f>
        <v xml:space="preserve"> </v>
      </c>
      <c r="IQ36" s="280">
        <f t="shared" ref="IQ36:IQ74" si="156">IF(IR36&gt;100,1,0)</f>
        <v>0</v>
      </c>
      <c r="IR36" s="175">
        <f t="shared" si="81"/>
        <v>0</v>
      </c>
      <c r="IS36" s="280">
        <f t="shared" si="82"/>
        <v>1</v>
      </c>
      <c r="IT36" s="280">
        <f t="shared" si="83"/>
        <v>0</v>
      </c>
      <c r="IU36" s="280">
        <f t="shared" si="84"/>
        <v>0</v>
      </c>
      <c r="IV36" s="280">
        <f t="shared" si="85"/>
        <v>0</v>
      </c>
      <c r="IW36" s="280">
        <f t="shared" si="86"/>
        <v>0</v>
      </c>
      <c r="IX36" s="280">
        <f t="shared" si="87"/>
        <v>0</v>
      </c>
      <c r="IY36" s="280">
        <f t="shared" si="88"/>
        <v>0</v>
      </c>
      <c r="IZ36" s="280">
        <f t="shared" si="89"/>
        <v>0</v>
      </c>
      <c r="JA36" s="280">
        <f t="shared" si="90"/>
        <v>0</v>
      </c>
      <c r="JB36" s="280">
        <f t="shared" si="91"/>
        <v>0</v>
      </c>
      <c r="JC36" s="280">
        <f t="shared" si="92"/>
        <v>0</v>
      </c>
      <c r="JD36" s="280">
        <f t="shared" si="93"/>
        <v>0</v>
      </c>
      <c r="JE36" s="280">
        <f t="shared" si="94"/>
        <v>0</v>
      </c>
      <c r="JF36" s="280">
        <f t="shared" si="95"/>
        <v>0</v>
      </c>
      <c r="JG36" s="280">
        <f t="shared" si="96"/>
        <v>0</v>
      </c>
      <c r="JH36" s="280">
        <f t="shared" si="97"/>
        <v>0</v>
      </c>
      <c r="JI36" s="280">
        <f t="shared" si="98"/>
        <v>0</v>
      </c>
      <c r="JJ36" s="280">
        <f t="shared" si="99"/>
        <v>0</v>
      </c>
      <c r="JK36" s="280">
        <f t="shared" si="100"/>
        <v>0</v>
      </c>
      <c r="JL36" s="280">
        <f t="shared" si="101"/>
        <v>0</v>
      </c>
      <c r="JM36" s="280">
        <f t="shared" si="102"/>
        <v>0</v>
      </c>
      <c r="JN36" s="280">
        <f t="shared" si="103"/>
        <v>0</v>
      </c>
      <c r="JO36" s="280">
        <f t="shared" si="104"/>
        <v>0</v>
      </c>
      <c r="JP36" s="280">
        <f t="shared" si="105"/>
        <v>0</v>
      </c>
      <c r="JQ36" s="280">
        <f t="shared" si="106"/>
        <v>0</v>
      </c>
      <c r="JR36" s="280">
        <f t="shared" si="107"/>
        <v>0</v>
      </c>
      <c r="JS36" s="44">
        <f t="shared" ref="JS36:JS73" si="157">SUM(IS36:JR36)</f>
        <v>1</v>
      </c>
      <c r="JT36" s="343" t="str">
        <f t="shared" ref="JT36:JT74" si="158">HLOOKUP(JS36,$IS$32:$JR$33,2,0)</f>
        <v>F</v>
      </c>
      <c r="JU36" s="44"/>
      <c r="JV36" s="280">
        <f t="shared" ref="JV36:JV51" si="159">IF(AND($IR36&gt;=$JV$30,$IR36&lt;$JW$30),JV$32,0)</f>
        <v>1</v>
      </c>
      <c r="JW36" s="280">
        <f t="shared" si="108"/>
        <v>0</v>
      </c>
      <c r="JX36" s="280">
        <f t="shared" si="109"/>
        <v>0</v>
      </c>
      <c r="JY36" s="280">
        <f t="shared" si="110"/>
        <v>0</v>
      </c>
      <c r="JZ36" s="280">
        <f t="shared" si="111"/>
        <v>0</v>
      </c>
      <c r="KA36" s="280">
        <f t="shared" si="112"/>
        <v>0</v>
      </c>
      <c r="KB36" s="44">
        <f t="shared" ref="KB36:KB73" si="160">SUM(JV36:KA36)</f>
        <v>1</v>
      </c>
      <c r="KC36" s="343" t="str">
        <f t="shared" ref="KC36:KC74" si="161">HLOOKUP(KB36,$JV$32:$KB$33,2,0)</f>
        <v>F</v>
      </c>
      <c r="KD36" s="280"/>
      <c r="KE36" s="280"/>
      <c r="KF36" s="280"/>
      <c r="KG36" s="280"/>
      <c r="KH36" s="280"/>
      <c r="KI36" s="280"/>
      <c r="KJ36" s="280"/>
      <c r="KK36" s="280"/>
      <c r="KW36" s="344"/>
      <c r="KX36" s="81"/>
      <c r="KY36" s="268"/>
      <c r="KZ36" s="268"/>
      <c r="LB36" s="345">
        <v>2</v>
      </c>
      <c r="LC36" s="204" t="s">
        <v>823</v>
      </c>
      <c r="LD36" s="169" t="s">
        <v>827</v>
      </c>
      <c r="LE36" s="347" t="s">
        <v>828</v>
      </c>
      <c r="LF36" s="169"/>
      <c r="LG36" s="169"/>
      <c r="LH36" s="169"/>
      <c r="LI36" s="169"/>
      <c r="LJ36" s="169"/>
      <c r="LK36" s="169"/>
      <c r="LL36" s="169"/>
      <c r="LM36" s="169"/>
      <c r="LN36" s="348"/>
    </row>
    <row r="37" spans="19:333" ht="16.149999999999999" customHeight="1" x14ac:dyDescent="0.25">
      <c r="S37" s="653"/>
      <c r="T37" s="1531"/>
      <c r="U37" s="1504" t="str">
        <f t="shared" si="63"/>
        <v/>
      </c>
      <c r="V37" s="1505"/>
      <c r="W37" s="1506"/>
      <c r="X37" s="817"/>
      <c r="Y37" s="862"/>
      <c r="Z37" s="1114" t="str">
        <f t="shared" si="64"/>
        <v xml:space="preserve"> </v>
      </c>
      <c r="AA37" s="276"/>
      <c r="AB37" s="1504" t="str">
        <f t="shared" si="65"/>
        <v/>
      </c>
      <c r="AC37" s="1505"/>
      <c r="AD37" s="1506"/>
      <c r="AE37" s="817"/>
      <c r="AF37" s="862"/>
      <c r="AG37" s="554" t="str">
        <f t="shared" si="66"/>
        <v xml:space="preserve"> </v>
      </c>
      <c r="AH37" s="276"/>
      <c r="AI37" s="1504" t="str">
        <f>BC117</f>
        <v/>
      </c>
      <c r="AJ37" s="1505"/>
      <c r="AK37" s="1506"/>
      <c r="AL37" s="817"/>
      <c r="AM37" s="862"/>
      <c r="AN37" s="1114" t="str">
        <f t="shared" si="67"/>
        <v xml:space="preserve"> </v>
      </c>
      <c r="AO37" s="348"/>
      <c r="AP37" s="719"/>
      <c r="AQ37" s="719"/>
      <c r="AR37" s="285"/>
      <c r="AS37" s="720"/>
      <c r="AT37" s="719"/>
      <c r="AU37" s="126"/>
      <c r="AV37" s="126"/>
      <c r="AW37" s="654"/>
      <c r="AX37" s="78">
        <f t="shared" si="68"/>
        <v>0</v>
      </c>
      <c r="AY37" s="78">
        <f t="shared" si="69"/>
        <v>0</v>
      </c>
      <c r="AZ37" s="78">
        <f t="shared" si="70"/>
        <v>0</v>
      </c>
      <c r="BA37" s="78">
        <f t="shared" si="71"/>
        <v>0</v>
      </c>
      <c r="BB37" s="78">
        <f t="shared" si="72"/>
        <v>0</v>
      </c>
      <c r="BC37" s="78">
        <f t="shared" si="73"/>
        <v>0</v>
      </c>
      <c r="BD37" s="78">
        <f t="shared" si="74"/>
        <v>0</v>
      </c>
      <c r="BE37" s="78">
        <f t="shared" si="75"/>
        <v>0</v>
      </c>
      <c r="BF37" s="78">
        <f t="shared" si="76"/>
        <v>0</v>
      </c>
      <c r="BG37" s="78">
        <f t="shared" si="77"/>
        <v>0</v>
      </c>
      <c r="BH37" s="78">
        <f t="shared" si="78"/>
        <v>0</v>
      </c>
      <c r="BI37" s="78">
        <f t="shared" si="79"/>
        <v>0</v>
      </c>
      <c r="BJ37" s="78">
        <f t="shared" si="113"/>
        <v>0</v>
      </c>
      <c r="BK37" s="78">
        <f t="shared" si="114"/>
        <v>0</v>
      </c>
      <c r="BP37" s="365">
        <v>120</v>
      </c>
      <c r="BQ37" s="366">
        <f>Y144</f>
        <v>0</v>
      </c>
      <c r="BR37" s="366">
        <f>AF144</f>
        <v>0</v>
      </c>
      <c r="BS37" s="366">
        <f>AM144</f>
        <v>0</v>
      </c>
      <c r="BW37" s="365">
        <v>100</v>
      </c>
      <c r="BX37" s="367" t="e">
        <f>HD59</f>
        <v>#NUM!</v>
      </c>
      <c r="BY37" s="81"/>
      <c r="BZ37" s="81">
        <f>BZ36+1</f>
        <v>2</v>
      </c>
      <c r="CA37" s="368">
        <v>1.1E-4</v>
      </c>
      <c r="CB37" s="351">
        <f t="shared" ref="CB37:CB48" si="162">AA116</f>
        <v>0</v>
      </c>
      <c r="CC37" s="537" t="str">
        <f t="shared" si="115"/>
        <v>X</v>
      </c>
      <c r="CD37" s="251" t="str">
        <f t="shared" si="116"/>
        <v>X</v>
      </c>
      <c r="CE37" s="251" t="e">
        <f t="shared" ref="CE37:CE47" si="163">RANK(CC37,$CC$36:$CC$47,2)</f>
        <v>#VALUE!</v>
      </c>
      <c r="CF37" s="352">
        <f t="shared" ref="CF37:CF47" si="164">CF36+CB37</f>
        <v>1</v>
      </c>
      <c r="CG37" s="353" t="e">
        <f t="shared" ref="CG37:CG47" si="165">SMALL($CC$36:$CC$47,CF37)</f>
        <v>#NUM!</v>
      </c>
      <c r="CH37" s="354" t="e">
        <f t="shared" ref="CH37:CH47" si="166">VLOOKUP(CG37,$CC$36:$CD$47,2,0)</f>
        <v>#NUM!</v>
      </c>
      <c r="CI37" s="355">
        <f t="shared" ref="CI37:CI47" si="167">IF(CB37=1,CH37,0)</f>
        <v>0</v>
      </c>
      <c r="CJ37" s="251" t="e">
        <f t="shared" ref="CJ37:CJ47" si="168">RANK(CG37,$CG$36:$CG$47,2)</f>
        <v>#NUM!</v>
      </c>
      <c r="CK37" s="218">
        <f t="shared" ref="CK37:CK45" si="169">CI37+CK38</f>
        <v>0</v>
      </c>
      <c r="CL37" s="356">
        <f t="shared" ref="CL37:CL47" si="170">CI37</f>
        <v>0</v>
      </c>
      <c r="CM37" s="357" t="e">
        <f t="shared" ref="CM37:CM47" si="171">ROUND(CG37,0)</f>
        <v>#NUM!</v>
      </c>
      <c r="CN37" s="218">
        <f t="shared" ref="CN37:CN47" si="172">IF(CK37&gt;CN$35,0,CI37)</f>
        <v>0</v>
      </c>
      <c r="CO37" s="218" t="str">
        <f t="shared" ref="CO37:CO47" si="173">IF(CB37=1,CN37,"x")</f>
        <v>x</v>
      </c>
      <c r="CP37" s="358">
        <f t="shared" ref="CP37:CP47" si="174">IF(CO37=0,1,0)</f>
        <v>0</v>
      </c>
      <c r="CQ37" s="358">
        <f t="shared" ref="CQ37:CQ45" si="175">CP37+CQ38</f>
        <v>0</v>
      </c>
      <c r="CR37" s="359">
        <f t="shared" ref="CR37:CR47" si="176">IF(CQ37=1,$CN$49,0)</f>
        <v>0</v>
      </c>
      <c r="CS37" s="360">
        <f t="shared" ref="CS37:CS47" si="177">CR37+CN37</f>
        <v>0</v>
      </c>
      <c r="CT37" s="361" t="e">
        <f>CS37*CM37</f>
        <v>#NUM!</v>
      </c>
      <c r="CU37" s="362">
        <f t="shared" ref="CU37:CU47" si="178">IF(CK37&gt;CU$35,0,CI37)</f>
        <v>0</v>
      </c>
      <c r="CV37" s="218" t="str">
        <f t="shared" ref="CV37:CV47" si="179">IF(CB37=1,CU37,"x")</f>
        <v>x</v>
      </c>
      <c r="CW37" s="358">
        <f t="shared" ref="CW37:CW47" si="180">IF(CV37=0,1,0)</f>
        <v>0</v>
      </c>
      <c r="CX37" s="358">
        <f t="shared" ref="CX37:CX45" si="181">CW37+CX38</f>
        <v>0</v>
      </c>
      <c r="CY37" s="359">
        <f>IF(CX37=1,$CU$49,0)</f>
        <v>0</v>
      </c>
      <c r="CZ37" s="360">
        <f t="shared" ref="CZ37:CZ47" si="182">CY37+CU37</f>
        <v>0</v>
      </c>
      <c r="DA37" s="361" t="e">
        <f>CZ37*CM37</f>
        <v>#NUM!</v>
      </c>
      <c r="DB37" s="362">
        <f t="shared" ref="DB37:DB47" si="183">IF(CK37&gt;DB$35,0,CI37)</f>
        <v>0</v>
      </c>
      <c r="DC37" s="218" t="str">
        <f t="shared" ref="DC37:DC47" si="184">IF(CB37=1,DB37,"x")</f>
        <v>x</v>
      </c>
      <c r="DD37" s="358">
        <f t="shared" ref="DD37:DD47" si="185">IF(DC37=0,1,0)</f>
        <v>0</v>
      </c>
      <c r="DE37" s="358">
        <f t="shared" ref="DE37:DE45" si="186">DD37+DE38</f>
        <v>0</v>
      </c>
      <c r="DF37" s="359">
        <f t="shared" ref="DF37:DF47" si="187">IF(DE37=1,$DB$49,0)</f>
        <v>0</v>
      </c>
      <c r="DG37" s="360">
        <f t="shared" ref="DG37:DG47" si="188">DF37+DB37</f>
        <v>0</v>
      </c>
      <c r="DH37" s="361" t="e">
        <f t="shared" ref="DH37:DH47" si="189">DG37*CM37</f>
        <v>#NUM!</v>
      </c>
      <c r="DI37" s="362">
        <f t="shared" ref="DI37:DI47" si="190">IF(CK37&gt;DI$35,0,CI37)</f>
        <v>0</v>
      </c>
      <c r="DJ37" s="218" t="str">
        <f t="shared" ref="DJ37:DJ47" si="191">IF(CB37=1,DI37,"x")</f>
        <v>x</v>
      </c>
      <c r="DK37" s="358">
        <f t="shared" ref="DK37:DK47" si="192">IF(DJ37=0,1,0)</f>
        <v>0</v>
      </c>
      <c r="DL37" s="358">
        <f t="shared" ref="DL37:DL45" si="193">DK37+DL38</f>
        <v>0</v>
      </c>
      <c r="DM37" s="359">
        <f t="shared" ref="DM37:DM47" si="194">IF(DL37=1,$DB$49,0)</f>
        <v>0</v>
      </c>
      <c r="DN37" s="360">
        <f t="shared" ref="DN37:DN47" si="195">DM37+DI37</f>
        <v>0</v>
      </c>
      <c r="DO37" s="361" t="e">
        <f t="shared" ref="DO37:DO47" si="196">DN37*CM37</f>
        <v>#NUM!</v>
      </c>
      <c r="DP37" s="361"/>
      <c r="DQ37" s="361">
        <f>DQ36+1</f>
        <v>2</v>
      </c>
      <c r="DR37" s="368">
        <v>1.1E-4</v>
      </c>
      <c r="DS37" s="351">
        <f t="shared" ref="DS37:DS48" si="197">AH116</f>
        <v>0</v>
      </c>
      <c r="DT37" s="537" t="str">
        <f t="shared" si="117"/>
        <v>X</v>
      </c>
      <c r="DU37" s="251" t="str">
        <f t="shared" si="118"/>
        <v>X</v>
      </c>
      <c r="DV37" s="251" t="e">
        <f t="shared" ref="DV37:DV47" si="198">RANK(DT37,$DT$36:$DT$47,2)</f>
        <v>#VALUE!</v>
      </c>
      <c r="DW37" s="352">
        <f>DW36+DS37</f>
        <v>1</v>
      </c>
      <c r="DX37" s="354" t="e">
        <f t="shared" ref="DX37:DX46" si="199">SMALL($DT$36:$DT$47,DW37)</f>
        <v>#NUM!</v>
      </c>
      <c r="DY37" s="354" t="e">
        <f>VLOOKUP(DX37,$DT$36:$DU$47,2,0)</f>
        <v>#NUM!</v>
      </c>
      <c r="DZ37" s="355">
        <f t="shared" ref="DZ37:DZ45" si="200">IF(DS37=1,DY37,0)</f>
        <v>0</v>
      </c>
      <c r="EA37" s="251" t="e">
        <f t="shared" ref="EA37:EA47" si="201">RANK(DX37,$DX$36:$DX$47,2)</f>
        <v>#NUM!</v>
      </c>
      <c r="EB37" s="218">
        <f t="shared" ref="EB37:EB45" si="202">DZ37+EB38</f>
        <v>0</v>
      </c>
      <c r="EC37" s="356">
        <f t="shared" ref="EC37:EC47" si="203">DZ37</f>
        <v>0</v>
      </c>
      <c r="ED37" s="587" t="e">
        <f t="shared" ref="ED37:ED47" si="204">ROUND(DX37,0)</f>
        <v>#NUM!</v>
      </c>
      <c r="EE37" s="362">
        <f t="shared" si="119"/>
        <v>0</v>
      </c>
      <c r="EF37" s="218" t="str">
        <f t="shared" si="120"/>
        <v>x</v>
      </c>
      <c r="EG37" s="608">
        <f t="shared" si="121"/>
        <v>0</v>
      </c>
      <c r="EH37" s="608">
        <f t="shared" si="122"/>
        <v>0</v>
      </c>
      <c r="EI37" s="359">
        <f>IF(EH37=1,EE49,0)</f>
        <v>0</v>
      </c>
      <c r="EJ37" s="360">
        <f t="shared" si="123"/>
        <v>0</v>
      </c>
      <c r="EK37" s="361" t="e">
        <f t="shared" si="124"/>
        <v>#NUM!</v>
      </c>
      <c r="EL37" s="362">
        <f t="shared" si="125"/>
        <v>0</v>
      </c>
      <c r="EM37" s="218" t="str">
        <f t="shared" si="126"/>
        <v>x</v>
      </c>
      <c r="EN37" s="358">
        <f t="shared" ref="EN37:EN47" si="205">IF(EM37=0,1,0)</f>
        <v>0</v>
      </c>
      <c r="EO37" s="358">
        <f t="shared" ref="EO37:EO45" si="206">EN37+EO38</f>
        <v>0</v>
      </c>
      <c r="EP37" s="359">
        <f>IF(EO37=1,EL49,0)</f>
        <v>0</v>
      </c>
      <c r="EQ37" s="360">
        <f t="shared" ref="EQ37:EQ47" si="207">EP37+EL37</f>
        <v>0</v>
      </c>
      <c r="ER37" s="361" t="e">
        <f t="shared" si="127"/>
        <v>#NUM!</v>
      </c>
      <c r="ES37" s="362">
        <f t="shared" si="128"/>
        <v>0</v>
      </c>
      <c r="ET37" s="218" t="str">
        <f t="shared" si="129"/>
        <v>x</v>
      </c>
      <c r="EU37" s="358">
        <f t="shared" ref="EU37:EU47" si="208">IF(ET37=0,1,0)</f>
        <v>0</v>
      </c>
      <c r="EV37" s="358">
        <f t="shared" ref="EV37:EV45" si="209">EU37+EV38</f>
        <v>0</v>
      </c>
      <c r="EW37" s="359">
        <f>IF(EV37=1,ES49,0)</f>
        <v>0</v>
      </c>
      <c r="EX37" s="360">
        <f t="shared" ref="EX37:EX47" si="210">EW37+ES37</f>
        <v>0</v>
      </c>
      <c r="EY37" s="361" t="e">
        <f t="shared" si="130"/>
        <v>#NUM!</v>
      </c>
      <c r="EZ37" s="362">
        <f t="shared" si="131"/>
        <v>0</v>
      </c>
      <c r="FA37" s="218" t="str">
        <f t="shared" si="132"/>
        <v>x</v>
      </c>
      <c r="FB37" s="358">
        <f t="shared" ref="FB37:FB47" si="211">IF(FA37=0,1,0)</f>
        <v>0</v>
      </c>
      <c r="FC37" s="358">
        <f t="shared" ref="FC37:FC45" si="212">FB37+FC38</f>
        <v>0</v>
      </c>
      <c r="FD37" s="359">
        <f>IF(FC37=1,EZ49,0)</f>
        <v>0</v>
      </c>
      <c r="FE37" s="360">
        <f t="shared" ref="FE37:FE47" si="213">FD37+EZ37</f>
        <v>0</v>
      </c>
      <c r="FF37" s="361" t="e">
        <f t="shared" si="133"/>
        <v>#NUM!</v>
      </c>
      <c r="FG37" s="362">
        <f t="shared" si="134"/>
        <v>0</v>
      </c>
      <c r="FH37" s="218" t="str">
        <f t="shared" si="135"/>
        <v>x</v>
      </c>
      <c r="FI37" s="358">
        <f t="shared" ref="FI37:FI47" si="214">IF(FH37=0,1,0)</f>
        <v>0</v>
      </c>
      <c r="FJ37" s="358">
        <f t="shared" ref="FJ37:FJ45" si="215">FI37+FJ38</f>
        <v>0</v>
      </c>
      <c r="FK37" s="359">
        <f>IF(FJ37=1,FG49,0)</f>
        <v>0</v>
      </c>
      <c r="FL37" s="360">
        <f t="shared" ref="FL37:FL47" si="216">FK37+FG37</f>
        <v>0</v>
      </c>
      <c r="FM37" s="361" t="e">
        <f t="shared" si="136"/>
        <v>#NUM!</v>
      </c>
      <c r="FN37" s="362">
        <f t="shared" si="137"/>
        <v>0</v>
      </c>
      <c r="FO37" s="218" t="str">
        <f t="shared" si="138"/>
        <v>x</v>
      </c>
      <c r="FP37" s="358">
        <f t="shared" ref="FP37:FP47" si="217">IF(FO37=0,1,0)</f>
        <v>0</v>
      </c>
      <c r="FQ37" s="358">
        <f t="shared" ref="FQ37:FQ45" si="218">FP37+FQ38</f>
        <v>0</v>
      </c>
      <c r="FR37" s="359">
        <f>IF(FQ37=1,FN49,0)</f>
        <v>0</v>
      </c>
      <c r="FS37" s="360">
        <f t="shared" ref="FS37:FS47" si="219">FR37+FN37</f>
        <v>0</v>
      </c>
      <c r="FT37" s="361" t="e">
        <f t="shared" si="139"/>
        <v>#NUM!</v>
      </c>
      <c r="FU37" s="362">
        <f t="shared" si="140"/>
        <v>0</v>
      </c>
      <c r="FV37" s="218" t="str">
        <f t="shared" si="141"/>
        <v>x</v>
      </c>
      <c r="FW37" s="358">
        <f t="shared" ref="FW37:FW47" si="220">IF(FV37=0,1,0)</f>
        <v>0</v>
      </c>
      <c r="FX37" s="358">
        <f t="shared" ref="FX37:FX45" si="221">FW37+FX38</f>
        <v>0</v>
      </c>
      <c r="FY37" s="359">
        <f>IF(FX37=1,FU49,0)</f>
        <v>0</v>
      </c>
      <c r="FZ37" s="360">
        <f t="shared" ref="FZ37:FZ47" si="222">FY37+FU37</f>
        <v>0</v>
      </c>
      <c r="GA37" s="361" t="e">
        <f t="shared" si="142"/>
        <v>#NUM!</v>
      </c>
      <c r="GB37" s="362">
        <f t="shared" si="143"/>
        <v>0</v>
      </c>
      <c r="GC37" s="218" t="str">
        <f t="shared" si="144"/>
        <v>x</v>
      </c>
      <c r="GD37" s="358">
        <f t="shared" ref="GD37:GD47" si="223">IF(GC37=0,1,0)</f>
        <v>0</v>
      </c>
      <c r="GE37" s="358">
        <f t="shared" ref="GE37:GE45" si="224">GD37+GE38</f>
        <v>0</v>
      </c>
      <c r="GF37" s="359">
        <f>IF(GE37=1,GB49,0)</f>
        <v>0</v>
      </c>
      <c r="GG37" s="360">
        <f t="shared" ref="GG37:GG47" si="225">GF37+GB37</f>
        <v>0</v>
      </c>
      <c r="GH37" s="361" t="e">
        <f t="shared" si="145"/>
        <v>#NUM!</v>
      </c>
      <c r="GI37" s="361"/>
      <c r="GJ37" s="361"/>
      <c r="GK37" s="368">
        <v>1.1E-4</v>
      </c>
      <c r="GL37" s="351">
        <f t="shared" si="146"/>
        <v>0</v>
      </c>
      <c r="GM37" s="537" t="str">
        <f t="shared" si="147"/>
        <v>X</v>
      </c>
      <c r="GN37" s="251" t="str">
        <f t="shared" si="148"/>
        <v>X</v>
      </c>
      <c r="GO37" s="251" t="e">
        <f t="shared" ref="GO37:GO47" si="226">RANK(GM37,$GM$36:$GM$47,2)</f>
        <v>#VALUE!</v>
      </c>
      <c r="GP37" s="352">
        <f t="shared" ref="GP37:GP47" si="227">GP36+GL37</f>
        <v>1</v>
      </c>
      <c r="GQ37" s="354" t="e">
        <f t="shared" ref="GQ37:GQ47" si="228">SMALL($GM$36:$GM$47,GP37)</f>
        <v>#NUM!</v>
      </c>
      <c r="GR37" s="354" t="e">
        <f t="shared" ref="GR37:GR47" si="229">VLOOKUP(GQ37,$GM$36:$GN$47,2,0)</f>
        <v>#NUM!</v>
      </c>
      <c r="GS37" s="355">
        <f t="shared" ref="GS37:GS47" si="230">IF(GL37=1,GR37,0)</f>
        <v>0</v>
      </c>
      <c r="GT37" s="251" t="e">
        <f t="shared" ref="GT37:GT47" si="231">RANK(GQ37,$GQ$36:$GQ$47,2)</f>
        <v>#NUM!</v>
      </c>
      <c r="GU37" s="218">
        <f t="shared" ref="GU37:GU45" si="232">GS37+GU38</f>
        <v>0</v>
      </c>
      <c r="GV37" s="356">
        <f t="shared" ref="GV37:GV47" si="233">GS37</f>
        <v>0</v>
      </c>
      <c r="GW37" s="587" t="e">
        <f t="shared" ref="GW37:GW47" si="234">ROUND(GQ37,0)</f>
        <v>#NUM!</v>
      </c>
      <c r="GX37" s="362">
        <f t="shared" ref="GX37:GX47" si="235">IF($GU37&gt;GX$35,0,$GS37)</f>
        <v>0</v>
      </c>
      <c r="GY37" s="218" t="str">
        <f t="shared" ref="GY37:GY47" si="236">IF($GL37=1,GX37,"x")</f>
        <v>x</v>
      </c>
      <c r="GZ37" s="358">
        <f t="shared" ref="GZ37:GZ47" si="237">IF(GY37=0,1,0)</f>
        <v>0</v>
      </c>
      <c r="HA37" s="358">
        <f>GZ37+HA38</f>
        <v>0</v>
      </c>
      <c r="HB37" s="359">
        <f t="shared" ref="HB37:HB47" si="238">IF(HA37=1,$GX$49,0)</f>
        <v>0</v>
      </c>
      <c r="HC37" s="360">
        <f>HB37+GX37</f>
        <v>0</v>
      </c>
      <c r="HD37" s="361" t="e">
        <f>HC37*GW37</f>
        <v>#NUM!</v>
      </c>
      <c r="HE37" s="362">
        <f t="shared" ref="HE37:HE47" si="239">IF(GU37&gt;100,0,GS37)</f>
        <v>0</v>
      </c>
      <c r="HF37" s="218" t="str">
        <f t="shared" si="149"/>
        <v>x</v>
      </c>
      <c r="HG37" s="358">
        <f t="shared" ref="HG37:HG47" si="240">IF(HF37=0,1,0)</f>
        <v>0</v>
      </c>
      <c r="HH37" s="358">
        <f t="shared" ref="HH37:HH45" si="241">HG37+HH38</f>
        <v>0</v>
      </c>
      <c r="HI37" s="359">
        <f t="shared" ref="HI37:HI47" si="242">IF(HH37=1,$HE$49,0)</f>
        <v>0</v>
      </c>
      <c r="HJ37" s="360">
        <f t="shared" ref="HJ37:HJ47" si="243">HI37+HE37</f>
        <v>0</v>
      </c>
      <c r="HK37" s="361" t="e">
        <f t="shared" si="150"/>
        <v>#NUM!</v>
      </c>
      <c r="HL37" s="362">
        <f t="shared" ref="HL37:HL47" si="244">IF(GU37&gt;90,0,GS37)</f>
        <v>0</v>
      </c>
      <c r="HM37" s="218" t="str">
        <f t="shared" si="151"/>
        <v>x</v>
      </c>
      <c r="HN37" s="358">
        <f t="shared" ref="HN37:HN47" si="245">IF(HM37=0,1,0)</f>
        <v>0</v>
      </c>
      <c r="HO37" s="358">
        <f t="shared" ref="HO37:HO45" si="246">HN37+HO38</f>
        <v>0</v>
      </c>
      <c r="HP37" s="359">
        <f t="shared" ref="HP37:HP47" si="247">IF(HO37=1,$HL$49,0)</f>
        <v>0</v>
      </c>
      <c r="HQ37" s="360">
        <f t="shared" ref="HQ37:HQ47" si="248">HP37+HL37</f>
        <v>0</v>
      </c>
      <c r="HR37" s="361" t="e">
        <f t="shared" si="152"/>
        <v>#NUM!</v>
      </c>
      <c r="HS37" s="362">
        <f t="shared" ref="HS37:HS47" si="249">IF($GU37&gt;HS$35,0,$GS37)</f>
        <v>0</v>
      </c>
      <c r="HT37" s="218" t="str">
        <f t="shared" ref="HT37:HT47" si="250">IF(GL37=1,HS37,"x")</f>
        <v>x</v>
      </c>
      <c r="HU37" s="358">
        <f t="shared" ref="HU37:HU47" si="251">IF(HT37=0,1,0)</f>
        <v>0</v>
      </c>
      <c r="HV37" s="358">
        <f t="shared" ref="HV37:HV45" si="252">HU37+HV38</f>
        <v>0</v>
      </c>
      <c r="HW37" s="359">
        <f t="shared" ref="HW37:HW47" si="253">IF(HV37=1,$HS$49,0)</f>
        <v>0</v>
      </c>
      <c r="HX37" s="360">
        <f>HW37+HS37</f>
        <v>0</v>
      </c>
      <c r="HY37" s="361" t="e">
        <f t="shared" ref="HY37:HY47" si="254">HX37*GW37</f>
        <v>#NUM!</v>
      </c>
      <c r="HZ37" s="362">
        <f t="shared" ref="HZ37:HZ47" si="255">IF($GU37&gt;HZ$35,0,$GS37)</f>
        <v>0</v>
      </c>
      <c r="IA37" s="218" t="str">
        <f t="shared" ref="IA37:IA47" si="256">IF(GL37=1,HZ37,"x")</f>
        <v>x</v>
      </c>
      <c r="IB37" s="358">
        <f t="shared" ref="IB37:IB47" si="257">IF(IA37=0,1,0)</f>
        <v>0</v>
      </c>
      <c r="IC37" s="358">
        <f t="shared" ref="IC37:IC45" si="258">IB37+IC38</f>
        <v>0</v>
      </c>
      <c r="ID37" s="359">
        <f t="shared" ref="ID37:ID47" si="259">IF(IC37=1,$HZ$49,0)</f>
        <v>0</v>
      </c>
      <c r="IE37" s="360">
        <f>ID37+HZ37</f>
        <v>0</v>
      </c>
      <c r="IF37" s="361" t="e">
        <f t="shared" ref="IF37:IF47" si="260">IE37*GW37</f>
        <v>#NUM!</v>
      </c>
      <c r="IG37" s="594"/>
      <c r="IH37" s="575">
        <f>IF(HG37=1,GV37-HJ37,0)</f>
        <v>0</v>
      </c>
      <c r="II37" s="363">
        <f t="shared" si="153"/>
        <v>0</v>
      </c>
      <c r="IJ37" s="576">
        <f t="shared" ref="IJ37:IJ39" si="261">IF(IH37&gt;0,1,0)</f>
        <v>0</v>
      </c>
      <c r="IK37" s="44"/>
      <c r="IL37" s="280"/>
      <c r="IM37" s="280">
        <f t="shared" ref="IM37:IM69" si="262">IM36+1</f>
        <v>3</v>
      </c>
      <c r="IN37" s="341">
        <f t="shared" si="80"/>
        <v>0</v>
      </c>
      <c r="IO37" s="196" t="str">
        <f t="shared" si="154"/>
        <v xml:space="preserve"> </v>
      </c>
      <c r="IP37" s="342" t="str">
        <f t="shared" si="155"/>
        <v xml:space="preserve"> </v>
      </c>
      <c r="IQ37" s="280">
        <f t="shared" si="156"/>
        <v>0</v>
      </c>
      <c r="IR37" s="175">
        <f t="shared" si="81"/>
        <v>0</v>
      </c>
      <c r="IS37" s="280">
        <f t="shared" si="82"/>
        <v>1</v>
      </c>
      <c r="IT37" s="280">
        <f t="shared" si="83"/>
        <v>0</v>
      </c>
      <c r="IU37" s="280">
        <f t="shared" si="84"/>
        <v>0</v>
      </c>
      <c r="IV37" s="280">
        <f t="shared" si="85"/>
        <v>0</v>
      </c>
      <c r="IW37" s="280">
        <f t="shared" si="86"/>
        <v>0</v>
      </c>
      <c r="IX37" s="280">
        <f t="shared" si="87"/>
        <v>0</v>
      </c>
      <c r="IY37" s="280">
        <f t="shared" si="88"/>
        <v>0</v>
      </c>
      <c r="IZ37" s="280">
        <f t="shared" si="89"/>
        <v>0</v>
      </c>
      <c r="JA37" s="280">
        <f t="shared" si="90"/>
        <v>0</v>
      </c>
      <c r="JB37" s="280">
        <f t="shared" si="91"/>
        <v>0</v>
      </c>
      <c r="JC37" s="280">
        <f t="shared" si="92"/>
        <v>0</v>
      </c>
      <c r="JD37" s="280">
        <f t="shared" si="93"/>
        <v>0</v>
      </c>
      <c r="JE37" s="280">
        <f t="shared" si="94"/>
        <v>0</v>
      </c>
      <c r="JF37" s="280">
        <f t="shared" si="95"/>
        <v>0</v>
      </c>
      <c r="JG37" s="280">
        <f t="shared" si="96"/>
        <v>0</v>
      </c>
      <c r="JH37" s="280">
        <f t="shared" si="97"/>
        <v>0</v>
      </c>
      <c r="JI37" s="280">
        <f t="shared" si="98"/>
        <v>0</v>
      </c>
      <c r="JJ37" s="280">
        <f t="shared" si="99"/>
        <v>0</v>
      </c>
      <c r="JK37" s="280">
        <f t="shared" si="100"/>
        <v>0</v>
      </c>
      <c r="JL37" s="280">
        <f t="shared" si="101"/>
        <v>0</v>
      </c>
      <c r="JM37" s="280">
        <f t="shared" si="102"/>
        <v>0</v>
      </c>
      <c r="JN37" s="280">
        <f t="shared" si="103"/>
        <v>0</v>
      </c>
      <c r="JO37" s="280">
        <f t="shared" si="104"/>
        <v>0</v>
      </c>
      <c r="JP37" s="280">
        <f t="shared" si="105"/>
        <v>0</v>
      </c>
      <c r="JQ37" s="280">
        <f t="shared" si="106"/>
        <v>0</v>
      </c>
      <c r="JR37" s="280">
        <f t="shared" si="107"/>
        <v>0</v>
      </c>
      <c r="JS37" s="44">
        <f t="shared" si="157"/>
        <v>1</v>
      </c>
      <c r="JT37" s="343" t="str">
        <f t="shared" si="158"/>
        <v>F</v>
      </c>
      <c r="JU37" s="44"/>
      <c r="JV37" s="280">
        <f t="shared" si="159"/>
        <v>1</v>
      </c>
      <c r="JW37" s="280">
        <f t="shared" si="108"/>
        <v>0</v>
      </c>
      <c r="JX37" s="280">
        <f t="shared" si="109"/>
        <v>0</v>
      </c>
      <c r="JY37" s="280">
        <f t="shared" si="110"/>
        <v>0</v>
      </c>
      <c r="JZ37" s="280">
        <f t="shared" si="111"/>
        <v>0</v>
      </c>
      <c r="KA37" s="280">
        <f t="shared" si="112"/>
        <v>0</v>
      </c>
      <c r="KB37" s="44">
        <f t="shared" si="160"/>
        <v>1</v>
      </c>
      <c r="KC37" s="343" t="str">
        <f t="shared" si="161"/>
        <v>F</v>
      </c>
      <c r="KD37" s="280"/>
      <c r="KE37" s="280"/>
      <c r="KF37" s="280"/>
      <c r="KG37" s="280"/>
      <c r="KH37" s="280"/>
      <c r="KI37" s="280"/>
      <c r="KJ37" s="280"/>
      <c r="KK37" s="280"/>
      <c r="KP37" s="282"/>
      <c r="KW37" s="344"/>
      <c r="KX37" s="81"/>
      <c r="KY37" s="268"/>
      <c r="KZ37" s="268"/>
      <c r="LB37" s="238" t="s">
        <v>829</v>
      </c>
      <c r="LC37" s="369"/>
      <c r="LD37" s="369"/>
      <c r="LE37" s="238"/>
      <c r="LF37" s="369"/>
      <c r="LG37" s="369"/>
      <c r="LH37" s="369"/>
      <c r="LI37" s="369"/>
      <c r="LJ37" s="369"/>
      <c r="LK37" s="369"/>
      <c r="LL37" s="369"/>
      <c r="LM37" s="313"/>
      <c r="LN37" s="314"/>
    </row>
    <row r="38" spans="19:333" ht="16.149999999999999" customHeight="1" x14ac:dyDescent="0.25">
      <c r="S38" s="653"/>
      <c r="T38" s="1531"/>
      <c r="U38" s="1504" t="str">
        <f t="shared" si="63"/>
        <v/>
      </c>
      <c r="V38" s="1505"/>
      <c r="W38" s="1506"/>
      <c r="X38" s="817"/>
      <c r="Y38" s="862"/>
      <c r="Z38" s="1114" t="str">
        <f t="shared" si="64"/>
        <v xml:space="preserve"> </v>
      </c>
      <c r="AA38" s="276"/>
      <c r="AB38" s="1504" t="str">
        <f t="shared" si="65"/>
        <v/>
      </c>
      <c r="AC38" s="1505"/>
      <c r="AD38" s="1506"/>
      <c r="AE38" s="817"/>
      <c r="AF38" s="862"/>
      <c r="AG38" s="554" t="str">
        <f t="shared" si="66"/>
        <v xml:space="preserve"> </v>
      </c>
      <c r="AH38" s="276"/>
      <c r="AI38" s="1504" t="str">
        <f>BC118</f>
        <v/>
      </c>
      <c r="AJ38" s="1505"/>
      <c r="AK38" s="1506"/>
      <c r="AL38" s="817"/>
      <c r="AM38" s="862"/>
      <c r="AN38" s="1114" t="str">
        <f t="shared" si="67"/>
        <v xml:space="preserve"> </v>
      </c>
      <c r="AO38" s="348"/>
      <c r="AP38" s="719"/>
      <c r="AQ38" s="719"/>
      <c r="AR38" s="285"/>
      <c r="AS38" s="720"/>
      <c r="AT38" s="719"/>
      <c r="AU38" s="126"/>
      <c r="AV38" s="126"/>
      <c r="AW38" s="654"/>
      <c r="AX38" s="78">
        <f t="shared" si="68"/>
        <v>0</v>
      </c>
      <c r="AY38" s="78">
        <f t="shared" si="69"/>
        <v>0</v>
      </c>
      <c r="AZ38" s="78">
        <f t="shared" si="70"/>
        <v>0</v>
      </c>
      <c r="BA38" s="78">
        <f t="shared" si="71"/>
        <v>0</v>
      </c>
      <c r="BB38" s="78">
        <f t="shared" si="72"/>
        <v>0</v>
      </c>
      <c r="BC38" s="78">
        <f t="shared" si="73"/>
        <v>0</v>
      </c>
      <c r="BD38" s="78">
        <f t="shared" si="74"/>
        <v>0</v>
      </c>
      <c r="BE38" s="78">
        <f t="shared" si="75"/>
        <v>0</v>
      </c>
      <c r="BF38" s="78">
        <f t="shared" si="76"/>
        <v>0</v>
      </c>
      <c r="BG38" s="78">
        <f t="shared" si="77"/>
        <v>0</v>
      </c>
      <c r="BH38" s="78">
        <f t="shared" si="78"/>
        <v>0</v>
      </c>
      <c r="BI38" s="78">
        <f t="shared" si="79"/>
        <v>0</v>
      </c>
      <c r="BJ38" s="78">
        <f t="shared" si="113"/>
        <v>0</v>
      </c>
      <c r="BK38" s="78">
        <f t="shared" si="114"/>
        <v>0</v>
      </c>
      <c r="BO38" s="41" t="s">
        <v>892</v>
      </c>
      <c r="BP38" s="365">
        <v>100</v>
      </c>
      <c r="BQ38" s="367" t="e">
        <f>$CT$49</f>
        <v>#NUM!</v>
      </c>
      <c r="BR38" s="367" t="e">
        <f>$EK$49</f>
        <v>#NUM!</v>
      </c>
      <c r="BS38" s="367" t="e">
        <f>$HK$49</f>
        <v>#NUM!</v>
      </c>
      <c r="BT38" s="282">
        <f>BQ37</f>
        <v>0</v>
      </c>
      <c r="BU38" s="370" t="e">
        <f>$EL$71</f>
        <v>#NUM!</v>
      </c>
      <c r="BV38" s="370" t="e">
        <f>BS38</f>
        <v>#NUM!</v>
      </c>
      <c r="BW38" s="371">
        <v>20</v>
      </c>
      <c r="BX38" s="372">
        <f>HD60</f>
        <v>0</v>
      </c>
      <c r="BY38" s="81"/>
      <c r="BZ38" s="81">
        <f t="shared" ref="BZ38:BZ47" si="263">BZ37+1</f>
        <v>3</v>
      </c>
      <c r="CA38" s="368">
        <v>2.1000000000000001E-4</v>
      </c>
      <c r="CB38" s="351">
        <f t="shared" si="162"/>
        <v>0</v>
      </c>
      <c r="CC38" s="537" t="str">
        <f t="shared" si="115"/>
        <v>X</v>
      </c>
      <c r="CD38" s="251" t="str">
        <f t="shared" si="116"/>
        <v>X</v>
      </c>
      <c r="CE38" s="251" t="e">
        <f t="shared" si="163"/>
        <v>#VALUE!</v>
      </c>
      <c r="CF38" s="352">
        <f t="shared" si="164"/>
        <v>1</v>
      </c>
      <c r="CG38" s="353" t="e">
        <f t="shared" si="165"/>
        <v>#NUM!</v>
      </c>
      <c r="CH38" s="354" t="e">
        <f t="shared" si="166"/>
        <v>#NUM!</v>
      </c>
      <c r="CI38" s="355">
        <f t="shared" si="167"/>
        <v>0</v>
      </c>
      <c r="CJ38" s="251" t="e">
        <f t="shared" si="168"/>
        <v>#NUM!</v>
      </c>
      <c r="CK38" s="218">
        <f t="shared" si="169"/>
        <v>0</v>
      </c>
      <c r="CL38" s="356">
        <f t="shared" si="170"/>
        <v>0</v>
      </c>
      <c r="CM38" s="357" t="e">
        <f t="shared" si="171"/>
        <v>#NUM!</v>
      </c>
      <c r="CN38" s="218">
        <f t="shared" si="172"/>
        <v>0</v>
      </c>
      <c r="CO38" s="218" t="str">
        <f t="shared" si="173"/>
        <v>x</v>
      </c>
      <c r="CP38" s="358">
        <f t="shared" si="174"/>
        <v>0</v>
      </c>
      <c r="CQ38" s="358">
        <f t="shared" si="175"/>
        <v>0</v>
      </c>
      <c r="CR38" s="359">
        <f t="shared" si="176"/>
        <v>0</v>
      </c>
      <c r="CS38" s="360">
        <f t="shared" si="177"/>
        <v>0</v>
      </c>
      <c r="CT38" s="361" t="e">
        <f t="shared" ref="CT38:CT47" si="264">CS38*CM38</f>
        <v>#NUM!</v>
      </c>
      <c r="CU38" s="362">
        <f t="shared" si="178"/>
        <v>0</v>
      </c>
      <c r="CV38" s="218" t="str">
        <f t="shared" si="179"/>
        <v>x</v>
      </c>
      <c r="CW38" s="358">
        <f t="shared" si="180"/>
        <v>0</v>
      </c>
      <c r="CX38" s="358">
        <f t="shared" si="181"/>
        <v>0</v>
      </c>
      <c r="CY38" s="359">
        <f t="shared" ref="CY38:CY47" si="265">IF(CX38=1,$CU$49,0)</f>
        <v>0</v>
      </c>
      <c r="CZ38" s="360">
        <f t="shared" si="182"/>
        <v>0</v>
      </c>
      <c r="DA38" s="361" t="e">
        <f>CZ38*CM38</f>
        <v>#NUM!</v>
      </c>
      <c r="DB38" s="362">
        <f t="shared" si="183"/>
        <v>0</v>
      </c>
      <c r="DC38" s="218" t="str">
        <f t="shared" si="184"/>
        <v>x</v>
      </c>
      <c r="DD38" s="358">
        <f t="shared" si="185"/>
        <v>0</v>
      </c>
      <c r="DE38" s="358">
        <f t="shared" si="186"/>
        <v>0</v>
      </c>
      <c r="DF38" s="359">
        <f t="shared" si="187"/>
        <v>0</v>
      </c>
      <c r="DG38" s="360">
        <f t="shared" si="188"/>
        <v>0</v>
      </c>
      <c r="DH38" s="361" t="e">
        <f t="shared" si="189"/>
        <v>#NUM!</v>
      </c>
      <c r="DI38" s="362">
        <f t="shared" si="190"/>
        <v>0</v>
      </c>
      <c r="DJ38" s="218" t="str">
        <f t="shared" si="191"/>
        <v>x</v>
      </c>
      <c r="DK38" s="358">
        <f t="shared" si="192"/>
        <v>0</v>
      </c>
      <c r="DL38" s="358">
        <f t="shared" si="193"/>
        <v>0</v>
      </c>
      <c r="DM38" s="359">
        <f t="shared" si="194"/>
        <v>0</v>
      </c>
      <c r="DN38" s="360">
        <f t="shared" si="195"/>
        <v>0</v>
      </c>
      <c r="DO38" s="361" t="e">
        <f t="shared" si="196"/>
        <v>#NUM!</v>
      </c>
      <c r="DP38" s="361"/>
      <c r="DQ38" s="361">
        <f t="shared" ref="DQ38:DQ47" si="266">DQ37+1</f>
        <v>3</v>
      </c>
      <c r="DR38" s="368">
        <v>2.1000000000000001E-4</v>
      </c>
      <c r="DS38" s="351">
        <f t="shared" si="197"/>
        <v>0</v>
      </c>
      <c r="DT38" s="537" t="str">
        <f t="shared" si="117"/>
        <v>X</v>
      </c>
      <c r="DU38" s="251" t="str">
        <f t="shared" si="118"/>
        <v>X</v>
      </c>
      <c r="DV38" s="251" t="e">
        <f t="shared" si="198"/>
        <v>#VALUE!</v>
      </c>
      <c r="DW38" s="352">
        <f>DW37+DS38</f>
        <v>1</v>
      </c>
      <c r="DX38" s="354" t="e">
        <f t="shared" si="199"/>
        <v>#NUM!</v>
      </c>
      <c r="DY38" s="354" t="e">
        <f t="shared" ref="DY38:DY47" si="267">VLOOKUP(DX38,$DT$36:$DU$47,2,0)</f>
        <v>#NUM!</v>
      </c>
      <c r="DZ38" s="355">
        <f t="shared" si="200"/>
        <v>0</v>
      </c>
      <c r="EA38" s="251" t="e">
        <f t="shared" si="201"/>
        <v>#NUM!</v>
      </c>
      <c r="EB38" s="218">
        <f t="shared" si="202"/>
        <v>0</v>
      </c>
      <c r="EC38" s="356">
        <f t="shared" si="203"/>
        <v>0</v>
      </c>
      <c r="ED38" s="587" t="e">
        <f t="shared" si="204"/>
        <v>#NUM!</v>
      </c>
      <c r="EE38" s="362">
        <f t="shared" si="119"/>
        <v>0</v>
      </c>
      <c r="EF38" s="218" t="str">
        <f t="shared" si="120"/>
        <v>x</v>
      </c>
      <c r="EG38" s="608">
        <f t="shared" si="121"/>
        <v>0</v>
      </c>
      <c r="EH38" s="608">
        <f t="shared" si="122"/>
        <v>0</v>
      </c>
      <c r="EI38" s="359">
        <f>IF(EH38=1,EE49,0)</f>
        <v>0</v>
      </c>
      <c r="EJ38" s="360">
        <f t="shared" si="123"/>
        <v>0</v>
      </c>
      <c r="EK38" s="361" t="e">
        <f t="shared" si="124"/>
        <v>#NUM!</v>
      </c>
      <c r="EL38" s="362">
        <f t="shared" si="125"/>
        <v>0</v>
      </c>
      <c r="EM38" s="218" t="str">
        <f t="shared" si="126"/>
        <v>x</v>
      </c>
      <c r="EN38" s="358">
        <f t="shared" si="205"/>
        <v>0</v>
      </c>
      <c r="EO38" s="358">
        <f t="shared" si="206"/>
        <v>0</v>
      </c>
      <c r="EP38" s="359">
        <f>IF(EO38=1,EL49,0)</f>
        <v>0</v>
      </c>
      <c r="EQ38" s="360">
        <f t="shared" si="207"/>
        <v>0</v>
      </c>
      <c r="ER38" s="361" t="e">
        <f t="shared" si="127"/>
        <v>#NUM!</v>
      </c>
      <c r="ES38" s="362">
        <f t="shared" si="128"/>
        <v>0</v>
      </c>
      <c r="ET38" s="218" t="str">
        <f t="shared" si="129"/>
        <v>x</v>
      </c>
      <c r="EU38" s="358">
        <f t="shared" si="208"/>
        <v>0</v>
      </c>
      <c r="EV38" s="358">
        <f t="shared" si="209"/>
        <v>0</v>
      </c>
      <c r="EW38" s="359">
        <f>IF(EV38=1,ES49,0)</f>
        <v>0</v>
      </c>
      <c r="EX38" s="360">
        <f t="shared" si="210"/>
        <v>0</v>
      </c>
      <c r="EY38" s="361" t="e">
        <f t="shared" si="130"/>
        <v>#NUM!</v>
      </c>
      <c r="EZ38" s="362">
        <f t="shared" si="131"/>
        <v>0</v>
      </c>
      <c r="FA38" s="218" t="str">
        <f t="shared" si="132"/>
        <v>x</v>
      </c>
      <c r="FB38" s="358">
        <f t="shared" si="211"/>
        <v>0</v>
      </c>
      <c r="FC38" s="358">
        <f t="shared" si="212"/>
        <v>0</v>
      </c>
      <c r="FD38" s="359">
        <f>IF(FC38=1,EZ49,0)</f>
        <v>0</v>
      </c>
      <c r="FE38" s="360">
        <f t="shared" si="213"/>
        <v>0</v>
      </c>
      <c r="FF38" s="361" t="e">
        <f t="shared" si="133"/>
        <v>#NUM!</v>
      </c>
      <c r="FG38" s="362">
        <f t="shared" si="134"/>
        <v>0</v>
      </c>
      <c r="FH38" s="218" t="str">
        <f t="shared" si="135"/>
        <v>x</v>
      </c>
      <c r="FI38" s="358">
        <f t="shared" si="214"/>
        <v>0</v>
      </c>
      <c r="FJ38" s="358">
        <f t="shared" si="215"/>
        <v>0</v>
      </c>
      <c r="FK38" s="359">
        <f>IF(FJ38=1,FG49,0)</f>
        <v>0</v>
      </c>
      <c r="FL38" s="360">
        <f t="shared" si="216"/>
        <v>0</v>
      </c>
      <c r="FM38" s="361" t="e">
        <f t="shared" si="136"/>
        <v>#NUM!</v>
      </c>
      <c r="FN38" s="362">
        <f t="shared" si="137"/>
        <v>0</v>
      </c>
      <c r="FO38" s="218" t="str">
        <f t="shared" si="138"/>
        <v>x</v>
      </c>
      <c r="FP38" s="358">
        <f t="shared" si="217"/>
        <v>0</v>
      </c>
      <c r="FQ38" s="358">
        <f t="shared" si="218"/>
        <v>0</v>
      </c>
      <c r="FR38" s="359">
        <f>IF(FQ38=1,FN49,0)</f>
        <v>0</v>
      </c>
      <c r="FS38" s="360">
        <f t="shared" si="219"/>
        <v>0</v>
      </c>
      <c r="FT38" s="361" t="e">
        <f t="shared" si="139"/>
        <v>#NUM!</v>
      </c>
      <c r="FU38" s="362">
        <f t="shared" si="140"/>
        <v>0</v>
      </c>
      <c r="FV38" s="218" t="str">
        <f t="shared" si="141"/>
        <v>x</v>
      </c>
      <c r="FW38" s="358">
        <f t="shared" si="220"/>
        <v>0</v>
      </c>
      <c r="FX38" s="358">
        <f t="shared" si="221"/>
        <v>0</v>
      </c>
      <c r="FY38" s="359">
        <f>IF(FX38=1,FU49,0)</f>
        <v>0</v>
      </c>
      <c r="FZ38" s="360">
        <f t="shared" si="222"/>
        <v>0</v>
      </c>
      <c r="GA38" s="361" t="e">
        <f t="shared" si="142"/>
        <v>#NUM!</v>
      </c>
      <c r="GB38" s="362">
        <f t="shared" si="143"/>
        <v>0</v>
      </c>
      <c r="GC38" s="218" t="str">
        <f t="shared" si="144"/>
        <v>x</v>
      </c>
      <c r="GD38" s="358">
        <f t="shared" si="223"/>
        <v>0</v>
      </c>
      <c r="GE38" s="358">
        <f t="shared" si="224"/>
        <v>0</v>
      </c>
      <c r="GF38" s="359">
        <f>IF(GE38=1,GB49,0)</f>
        <v>0</v>
      </c>
      <c r="GG38" s="360">
        <f t="shared" si="225"/>
        <v>0</v>
      </c>
      <c r="GH38" s="361" t="e">
        <f t="shared" si="145"/>
        <v>#NUM!</v>
      </c>
      <c r="GI38" s="361"/>
      <c r="GJ38" s="361"/>
      <c r="GK38" s="368">
        <v>2.1000000000000001E-4</v>
      </c>
      <c r="GL38" s="351">
        <f t="shared" si="146"/>
        <v>0</v>
      </c>
      <c r="GM38" s="537" t="str">
        <f t="shared" si="147"/>
        <v>X</v>
      </c>
      <c r="GN38" s="251" t="str">
        <f t="shared" si="148"/>
        <v>X</v>
      </c>
      <c r="GO38" s="251" t="e">
        <f t="shared" si="226"/>
        <v>#VALUE!</v>
      </c>
      <c r="GP38" s="352">
        <f t="shared" si="227"/>
        <v>1</v>
      </c>
      <c r="GQ38" s="354" t="e">
        <f t="shared" si="228"/>
        <v>#NUM!</v>
      </c>
      <c r="GR38" s="354" t="e">
        <f t="shared" si="229"/>
        <v>#NUM!</v>
      </c>
      <c r="GS38" s="355">
        <f t="shared" si="230"/>
        <v>0</v>
      </c>
      <c r="GT38" s="251" t="e">
        <f t="shared" si="231"/>
        <v>#NUM!</v>
      </c>
      <c r="GU38" s="218">
        <f t="shared" si="232"/>
        <v>0</v>
      </c>
      <c r="GV38" s="356">
        <f t="shared" si="233"/>
        <v>0</v>
      </c>
      <c r="GW38" s="587" t="e">
        <f t="shared" si="234"/>
        <v>#NUM!</v>
      </c>
      <c r="GX38" s="362">
        <f t="shared" si="235"/>
        <v>0</v>
      </c>
      <c r="GY38" s="218" t="str">
        <f t="shared" si="236"/>
        <v>x</v>
      </c>
      <c r="GZ38" s="358">
        <f t="shared" si="237"/>
        <v>0</v>
      </c>
      <c r="HA38" s="358">
        <f t="shared" ref="HA38:HA45" si="268">GZ38+HA39</f>
        <v>0</v>
      </c>
      <c r="HB38" s="359">
        <f t="shared" si="238"/>
        <v>0</v>
      </c>
      <c r="HC38" s="360">
        <f t="shared" ref="HC38:HC47" si="269">HB38+GX38</f>
        <v>0</v>
      </c>
      <c r="HD38" s="361" t="e">
        <f t="shared" ref="HD38:HD47" si="270">HC38*GW38</f>
        <v>#NUM!</v>
      </c>
      <c r="HE38" s="362">
        <f t="shared" si="239"/>
        <v>0</v>
      </c>
      <c r="HF38" s="218" t="str">
        <f t="shared" si="149"/>
        <v>x</v>
      </c>
      <c r="HG38" s="358">
        <f t="shared" si="240"/>
        <v>0</v>
      </c>
      <c r="HH38" s="358">
        <f t="shared" si="241"/>
        <v>0</v>
      </c>
      <c r="HI38" s="359">
        <f t="shared" si="242"/>
        <v>0</v>
      </c>
      <c r="HJ38" s="360">
        <f t="shared" si="243"/>
        <v>0</v>
      </c>
      <c r="HK38" s="361" t="e">
        <f t="shared" si="150"/>
        <v>#NUM!</v>
      </c>
      <c r="HL38" s="362">
        <f t="shared" si="244"/>
        <v>0</v>
      </c>
      <c r="HM38" s="218" t="str">
        <f t="shared" si="151"/>
        <v>x</v>
      </c>
      <c r="HN38" s="358">
        <f t="shared" si="245"/>
        <v>0</v>
      </c>
      <c r="HO38" s="358">
        <f t="shared" si="246"/>
        <v>0</v>
      </c>
      <c r="HP38" s="359">
        <f t="shared" si="247"/>
        <v>0</v>
      </c>
      <c r="HQ38" s="360">
        <f t="shared" si="248"/>
        <v>0</v>
      </c>
      <c r="HR38" s="361" t="e">
        <f t="shared" si="152"/>
        <v>#NUM!</v>
      </c>
      <c r="HS38" s="362">
        <f t="shared" si="249"/>
        <v>0</v>
      </c>
      <c r="HT38" s="218" t="str">
        <f t="shared" si="250"/>
        <v>x</v>
      </c>
      <c r="HU38" s="358">
        <f t="shared" si="251"/>
        <v>0</v>
      </c>
      <c r="HV38" s="358">
        <f t="shared" si="252"/>
        <v>0</v>
      </c>
      <c r="HW38" s="359">
        <f t="shared" si="253"/>
        <v>0</v>
      </c>
      <c r="HX38" s="360">
        <f t="shared" ref="HX38:HX47" si="271">HW38+HS38</f>
        <v>0</v>
      </c>
      <c r="HY38" s="361" t="e">
        <f t="shared" si="254"/>
        <v>#NUM!</v>
      </c>
      <c r="HZ38" s="362">
        <f t="shared" si="255"/>
        <v>0</v>
      </c>
      <c r="IA38" s="218" t="str">
        <f t="shared" si="256"/>
        <v>x</v>
      </c>
      <c r="IB38" s="358">
        <f t="shared" si="257"/>
        <v>0</v>
      </c>
      <c r="IC38" s="358">
        <f t="shared" si="258"/>
        <v>0</v>
      </c>
      <c r="ID38" s="359">
        <f t="shared" si="259"/>
        <v>0</v>
      </c>
      <c r="IE38" s="360">
        <f t="shared" ref="IE38:IE47" si="272">ID38+HZ38</f>
        <v>0</v>
      </c>
      <c r="IF38" s="361" t="e">
        <f t="shared" si="260"/>
        <v>#NUM!</v>
      </c>
      <c r="IG38" s="594"/>
      <c r="IH38" s="575">
        <f t="shared" ref="IH38:IH47" si="273">IF(HG38=1,GV38-HQ38,0)</f>
        <v>0</v>
      </c>
      <c r="II38" s="363">
        <f t="shared" si="153"/>
        <v>0</v>
      </c>
      <c r="IJ38" s="576">
        <f t="shared" si="261"/>
        <v>0</v>
      </c>
      <c r="IK38" s="44"/>
      <c r="IL38" s="280"/>
      <c r="IM38" s="280">
        <f t="shared" si="262"/>
        <v>4</v>
      </c>
      <c r="IN38" s="341">
        <f t="shared" si="80"/>
        <v>0</v>
      </c>
      <c r="IO38" s="196" t="str">
        <f t="shared" si="154"/>
        <v xml:space="preserve"> </v>
      </c>
      <c r="IP38" s="342" t="str">
        <f t="shared" si="155"/>
        <v xml:space="preserve"> </v>
      </c>
      <c r="IQ38" s="280">
        <f t="shared" si="156"/>
        <v>0</v>
      </c>
      <c r="IR38" s="175">
        <f t="shared" si="81"/>
        <v>0</v>
      </c>
      <c r="IS38" s="280">
        <f t="shared" si="82"/>
        <v>1</v>
      </c>
      <c r="IT38" s="280">
        <f t="shared" si="83"/>
        <v>0</v>
      </c>
      <c r="IU38" s="280">
        <f t="shared" si="84"/>
        <v>0</v>
      </c>
      <c r="IV38" s="280">
        <f t="shared" si="85"/>
        <v>0</v>
      </c>
      <c r="IW38" s="280">
        <f t="shared" si="86"/>
        <v>0</v>
      </c>
      <c r="IX38" s="280">
        <f t="shared" si="87"/>
        <v>0</v>
      </c>
      <c r="IY38" s="280">
        <f t="shared" si="88"/>
        <v>0</v>
      </c>
      <c r="IZ38" s="280">
        <f t="shared" si="89"/>
        <v>0</v>
      </c>
      <c r="JA38" s="280">
        <f t="shared" si="90"/>
        <v>0</v>
      </c>
      <c r="JB38" s="280">
        <f t="shared" si="91"/>
        <v>0</v>
      </c>
      <c r="JC38" s="280">
        <f t="shared" si="92"/>
        <v>0</v>
      </c>
      <c r="JD38" s="280">
        <f t="shared" si="93"/>
        <v>0</v>
      </c>
      <c r="JE38" s="280">
        <f t="shared" si="94"/>
        <v>0</v>
      </c>
      <c r="JF38" s="280">
        <f t="shared" si="95"/>
        <v>0</v>
      </c>
      <c r="JG38" s="280">
        <f t="shared" si="96"/>
        <v>0</v>
      </c>
      <c r="JH38" s="280">
        <f t="shared" si="97"/>
        <v>0</v>
      </c>
      <c r="JI38" s="280">
        <f t="shared" si="98"/>
        <v>0</v>
      </c>
      <c r="JJ38" s="280">
        <f t="shared" si="99"/>
        <v>0</v>
      </c>
      <c r="JK38" s="280">
        <f t="shared" si="100"/>
        <v>0</v>
      </c>
      <c r="JL38" s="280">
        <f t="shared" si="101"/>
        <v>0</v>
      </c>
      <c r="JM38" s="280">
        <f t="shared" si="102"/>
        <v>0</v>
      </c>
      <c r="JN38" s="280">
        <f t="shared" si="103"/>
        <v>0</v>
      </c>
      <c r="JO38" s="280">
        <f t="shared" si="104"/>
        <v>0</v>
      </c>
      <c r="JP38" s="280">
        <f t="shared" si="105"/>
        <v>0</v>
      </c>
      <c r="JQ38" s="280">
        <f t="shared" si="106"/>
        <v>0</v>
      </c>
      <c r="JR38" s="280">
        <f t="shared" si="107"/>
        <v>0</v>
      </c>
      <c r="JS38" s="44">
        <f t="shared" si="157"/>
        <v>1</v>
      </c>
      <c r="JT38" s="343" t="str">
        <f t="shared" si="158"/>
        <v>F</v>
      </c>
      <c r="JU38" s="44"/>
      <c r="JV38" s="280">
        <f t="shared" si="159"/>
        <v>1</v>
      </c>
      <c r="JW38" s="280">
        <f t="shared" si="108"/>
        <v>0</v>
      </c>
      <c r="JX38" s="280">
        <f t="shared" si="109"/>
        <v>0</v>
      </c>
      <c r="JY38" s="280">
        <f t="shared" si="110"/>
        <v>0</v>
      </c>
      <c r="JZ38" s="280">
        <f t="shared" si="111"/>
        <v>0</v>
      </c>
      <c r="KA38" s="280">
        <f t="shared" si="112"/>
        <v>0</v>
      </c>
      <c r="KB38" s="44">
        <f t="shared" si="160"/>
        <v>1</v>
      </c>
      <c r="KC38" s="343" t="str">
        <f t="shared" si="161"/>
        <v>F</v>
      </c>
      <c r="KD38" s="280"/>
      <c r="KE38" s="280"/>
      <c r="KF38" s="280"/>
      <c r="KG38" s="280"/>
      <c r="KH38" s="280"/>
      <c r="KI38" s="280"/>
      <c r="KJ38" s="280"/>
      <c r="KK38" s="280"/>
      <c r="KP38" s="282"/>
      <c r="KW38" s="344"/>
      <c r="KX38" s="81"/>
      <c r="KY38" s="268"/>
      <c r="KZ38" s="268"/>
      <c r="LB38" s="345">
        <v>3</v>
      </c>
      <c r="LC38" s="204" t="s">
        <v>830</v>
      </c>
      <c r="LD38" s="169" t="s">
        <v>16</v>
      </c>
      <c r="LE38" s="347" t="s">
        <v>831</v>
      </c>
      <c r="LF38" s="169"/>
      <c r="LG38" s="169"/>
      <c r="LH38" s="169"/>
      <c r="LI38" s="169"/>
      <c r="LJ38" s="169"/>
      <c r="LK38" s="169"/>
      <c r="LL38" s="169"/>
      <c r="LM38" s="169"/>
      <c r="LN38" s="348"/>
    </row>
    <row r="39" spans="19:333" ht="16.149999999999999" customHeight="1" x14ac:dyDescent="0.25">
      <c r="S39" s="653"/>
      <c r="T39" s="1531"/>
      <c r="U39" s="1504" t="str">
        <f t="shared" si="63"/>
        <v/>
      </c>
      <c r="V39" s="1505"/>
      <c r="W39" s="1506"/>
      <c r="X39" s="817"/>
      <c r="Y39" s="862"/>
      <c r="Z39" s="1114" t="str">
        <f t="shared" si="64"/>
        <v xml:space="preserve"> </v>
      </c>
      <c r="AA39" s="276"/>
      <c r="AB39" s="1504" t="str">
        <f t="shared" si="65"/>
        <v/>
      </c>
      <c r="AC39" s="1505"/>
      <c r="AD39" s="1506"/>
      <c r="AE39" s="817"/>
      <c r="AF39" s="862"/>
      <c r="AG39" s="554" t="str">
        <f t="shared" si="66"/>
        <v xml:space="preserve"> </v>
      </c>
      <c r="AH39" s="276"/>
      <c r="AI39" s="1504" t="str">
        <f>BC119</f>
        <v/>
      </c>
      <c r="AJ39" s="1505"/>
      <c r="AK39" s="1506"/>
      <c r="AL39" s="817"/>
      <c r="AM39" s="862"/>
      <c r="AN39" s="1114" t="str">
        <f t="shared" si="67"/>
        <v xml:space="preserve"> </v>
      </c>
      <c r="AO39" s="348"/>
      <c r="AP39" s="719"/>
      <c r="AQ39" s="719"/>
      <c r="AR39" s="285"/>
      <c r="AS39" s="720"/>
      <c r="AT39" s="719"/>
      <c r="AU39" s="126"/>
      <c r="AV39" s="126"/>
      <c r="AW39" s="654"/>
      <c r="AX39" s="78">
        <f t="shared" si="68"/>
        <v>0</v>
      </c>
      <c r="AY39" s="78">
        <f t="shared" si="69"/>
        <v>0</v>
      </c>
      <c r="AZ39" s="78">
        <f t="shared" si="70"/>
        <v>0</v>
      </c>
      <c r="BA39" s="78">
        <f t="shared" si="71"/>
        <v>0</v>
      </c>
      <c r="BB39" s="78">
        <f t="shared" si="72"/>
        <v>0</v>
      </c>
      <c r="BC39" s="78">
        <f t="shared" si="73"/>
        <v>0</v>
      </c>
      <c r="BD39" s="78">
        <f t="shared" si="74"/>
        <v>0</v>
      </c>
      <c r="BE39" s="78">
        <f t="shared" si="75"/>
        <v>0</v>
      </c>
      <c r="BF39" s="78">
        <f t="shared" si="76"/>
        <v>0</v>
      </c>
      <c r="BG39" s="78">
        <f t="shared" si="77"/>
        <v>0</v>
      </c>
      <c r="BH39" s="78">
        <f t="shared" si="78"/>
        <v>0</v>
      </c>
      <c r="BI39" s="78">
        <f t="shared" si="79"/>
        <v>0</v>
      </c>
      <c r="BJ39" s="78">
        <f t="shared" si="113"/>
        <v>0</v>
      </c>
      <c r="BK39" s="78">
        <f t="shared" si="114"/>
        <v>0</v>
      </c>
      <c r="BO39" s="41" t="s">
        <v>893</v>
      </c>
      <c r="BP39" s="365">
        <v>90</v>
      </c>
      <c r="BQ39" s="367" t="e">
        <f>$DA$49</f>
        <v>#NUM!</v>
      </c>
      <c r="BR39" s="367" t="e">
        <f>$ER$49</f>
        <v>#NUM!</v>
      </c>
      <c r="BS39" s="367" t="e">
        <f>$HR$49</f>
        <v>#NUM!</v>
      </c>
      <c r="BT39" s="367"/>
      <c r="BU39" s="81"/>
      <c r="BV39" s="81"/>
      <c r="BW39" s="81"/>
      <c r="BX39" s="81"/>
      <c r="BY39" s="81"/>
      <c r="BZ39" s="81">
        <f t="shared" si="263"/>
        <v>4</v>
      </c>
      <c r="CA39" s="368">
        <v>3.1E-4</v>
      </c>
      <c r="CB39" s="351">
        <f t="shared" si="162"/>
        <v>0</v>
      </c>
      <c r="CC39" s="537" t="str">
        <f t="shared" si="115"/>
        <v>X</v>
      </c>
      <c r="CD39" s="251" t="str">
        <f t="shared" si="116"/>
        <v>X</v>
      </c>
      <c r="CE39" s="251" t="e">
        <f t="shared" si="163"/>
        <v>#VALUE!</v>
      </c>
      <c r="CF39" s="352">
        <f t="shared" si="164"/>
        <v>1</v>
      </c>
      <c r="CG39" s="353" t="e">
        <f t="shared" si="165"/>
        <v>#NUM!</v>
      </c>
      <c r="CH39" s="354" t="e">
        <f t="shared" si="166"/>
        <v>#NUM!</v>
      </c>
      <c r="CI39" s="355">
        <f t="shared" si="167"/>
        <v>0</v>
      </c>
      <c r="CJ39" s="251" t="e">
        <f t="shared" si="168"/>
        <v>#NUM!</v>
      </c>
      <c r="CK39" s="218">
        <f t="shared" si="169"/>
        <v>0</v>
      </c>
      <c r="CL39" s="356">
        <f t="shared" si="170"/>
        <v>0</v>
      </c>
      <c r="CM39" s="357" t="e">
        <f t="shared" si="171"/>
        <v>#NUM!</v>
      </c>
      <c r="CN39" s="218">
        <f t="shared" si="172"/>
        <v>0</v>
      </c>
      <c r="CO39" s="218" t="str">
        <f t="shared" si="173"/>
        <v>x</v>
      </c>
      <c r="CP39" s="358">
        <f t="shared" si="174"/>
        <v>0</v>
      </c>
      <c r="CQ39" s="358">
        <f t="shared" si="175"/>
        <v>0</v>
      </c>
      <c r="CR39" s="359">
        <f t="shared" si="176"/>
        <v>0</v>
      </c>
      <c r="CS39" s="360">
        <f t="shared" si="177"/>
        <v>0</v>
      </c>
      <c r="CT39" s="361" t="e">
        <f t="shared" si="264"/>
        <v>#NUM!</v>
      </c>
      <c r="CU39" s="362">
        <f t="shared" si="178"/>
        <v>0</v>
      </c>
      <c r="CV39" s="218" t="str">
        <f t="shared" si="179"/>
        <v>x</v>
      </c>
      <c r="CW39" s="358">
        <f t="shared" si="180"/>
        <v>0</v>
      </c>
      <c r="CX39" s="358">
        <f t="shared" si="181"/>
        <v>0</v>
      </c>
      <c r="CY39" s="359">
        <f t="shared" si="265"/>
        <v>0</v>
      </c>
      <c r="CZ39" s="360">
        <f t="shared" si="182"/>
        <v>0</v>
      </c>
      <c r="DA39" s="361" t="e">
        <f t="shared" ref="DA39:DA47" si="274">CZ39*CM39</f>
        <v>#NUM!</v>
      </c>
      <c r="DB39" s="362">
        <f t="shared" si="183"/>
        <v>0</v>
      </c>
      <c r="DC39" s="218" t="str">
        <f t="shared" si="184"/>
        <v>x</v>
      </c>
      <c r="DD39" s="358">
        <f t="shared" si="185"/>
        <v>0</v>
      </c>
      <c r="DE39" s="358">
        <f t="shared" si="186"/>
        <v>0</v>
      </c>
      <c r="DF39" s="359">
        <f t="shared" si="187"/>
        <v>0</v>
      </c>
      <c r="DG39" s="360">
        <f t="shared" si="188"/>
        <v>0</v>
      </c>
      <c r="DH39" s="361" t="e">
        <f t="shared" si="189"/>
        <v>#NUM!</v>
      </c>
      <c r="DI39" s="362">
        <f t="shared" si="190"/>
        <v>0</v>
      </c>
      <c r="DJ39" s="218" t="str">
        <f t="shared" si="191"/>
        <v>x</v>
      </c>
      <c r="DK39" s="358">
        <f t="shared" si="192"/>
        <v>0</v>
      </c>
      <c r="DL39" s="358">
        <f t="shared" si="193"/>
        <v>0</v>
      </c>
      <c r="DM39" s="359">
        <f t="shared" si="194"/>
        <v>0</v>
      </c>
      <c r="DN39" s="360">
        <f t="shared" si="195"/>
        <v>0</v>
      </c>
      <c r="DO39" s="361" t="e">
        <f t="shared" si="196"/>
        <v>#NUM!</v>
      </c>
      <c r="DP39" s="361"/>
      <c r="DQ39" s="361">
        <f t="shared" si="266"/>
        <v>4</v>
      </c>
      <c r="DR39" s="368">
        <v>3.1E-4</v>
      </c>
      <c r="DS39" s="351">
        <f t="shared" si="197"/>
        <v>0</v>
      </c>
      <c r="DT39" s="537" t="str">
        <f t="shared" si="117"/>
        <v>X</v>
      </c>
      <c r="DU39" s="251" t="str">
        <f t="shared" si="118"/>
        <v>X</v>
      </c>
      <c r="DV39" s="251" t="e">
        <f t="shared" si="198"/>
        <v>#VALUE!</v>
      </c>
      <c r="DW39" s="352">
        <f t="shared" ref="DW39:DW46" si="275">DW38+DS39</f>
        <v>1</v>
      </c>
      <c r="DX39" s="354" t="e">
        <f t="shared" si="199"/>
        <v>#NUM!</v>
      </c>
      <c r="DY39" s="354" t="e">
        <f t="shared" si="267"/>
        <v>#NUM!</v>
      </c>
      <c r="DZ39" s="355">
        <f t="shared" si="200"/>
        <v>0</v>
      </c>
      <c r="EA39" s="251" t="e">
        <f t="shared" si="201"/>
        <v>#NUM!</v>
      </c>
      <c r="EB39" s="218">
        <f t="shared" si="202"/>
        <v>0</v>
      </c>
      <c r="EC39" s="356">
        <f t="shared" si="203"/>
        <v>0</v>
      </c>
      <c r="ED39" s="587" t="e">
        <f t="shared" si="204"/>
        <v>#NUM!</v>
      </c>
      <c r="EE39" s="362">
        <f t="shared" si="119"/>
        <v>0</v>
      </c>
      <c r="EF39" s="218" t="str">
        <f t="shared" si="120"/>
        <v>x</v>
      </c>
      <c r="EG39" s="608">
        <f t="shared" si="121"/>
        <v>0</v>
      </c>
      <c r="EH39" s="608">
        <f t="shared" si="122"/>
        <v>0</v>
      </c>
      <c r="EI39" s="359">
        <f>IF(EH39=1,EE49,0)</f>
        <v>0</v>
      </c>
      <c r="EJ39" s="360">
        <f t="shared" si="123"/>
        <v>0</v>
      </c>
      <c r="EK39" s="361" t="e">
        <f t="shared" si="124"/>
        <v>#NUM!</v>
      </c>
      <c r="EL39" s="362">
        <f t="shared" si="125"/>
        <v>0</v>
      </c>
      <c r="EM39" s="218" t="str">
        <f t="shared" si="126"/>
        <v>x</v>
      </c>
      <c r="EN39" s="358">
        <f t="shared" si="205"/>
        <v>0</v>
      </c>
      <c r="EO39" s="358">
        <f t="shared" si="206"/>
        <v>0</v>
      </c>
      <c r="EP39" s="359">
        <f>IF(EO39=1,EL49,0)</f>
        <v>0</v>
      </c>
      <c r="EQ39" s="360">
        <f t="shared" si="207"/>
        <v>0</v>
      </c>
      <c r="ER39" s="361" t="e">
        <f t="shared" si="127"/>
        <v>#NUM!</v>
      </c>
      <c r="ES39" s="362">
        <f t="shared" si="128"/>
        <v>0</v>
      </c>
      <c r="ET39" s="218" t="str">
        <f t="shared" si="129"/>
        <v>x</v>
      </c>
      <c r="EU39" s="358">
        <f t="shared" si="208"/>
        <v>0</v>
      </c>
      <c r="EV39" s="358">
        <f t="shared" si="209"/>
        <v>0</v>
      </c>
      <c r="EW39" s="359">
        <f>IF(EV39=1,ES49,0)</f>
        <v>0</v>
      </c>
      <c r="EX39" s="360">
        <f t="shared" si="210"/>
        <v>0</v>
      </c>
      <c r="EY39" s="361" t="e">
        <f t="shared" si="130"/>
        <v>#NUM!</v>
      </c>
      <c r="EZ39" s="362">
        <f t="shared" si="131"/>
        <v>0</v>
      </c>
      <c r="FA39" s="218" t="str">
        <f t="shared" si="132"/>
        <v>x</v>
      </c>
      <c r="FB39" s="358">
        <f t="shared" si="211"/>
        <v>0</v>
      </c>
      <c r="FC39" s="358">
        <f t="shared" si="212"/>
        <v>0</v>
      </c>
      <c r="FD39" s="359">
        <f>IF(FC39=1,EZ49,0)</f>
        <v>0</v>
      </c>
      <c r="FE39" s="360">
        <f t="shared" si="213"/>
        <v>0</v>
      </c>
      <c r="FF39" s="361" t="e">
        <f t="shared" si="133"/>
        <v>#NUM!</v>
      </c>
      <c r="FG39" s="362">
        <f t="shared" si="134"/>
        <v>0</v>
      </c>
      <c r="FH39" s="218" t="str">
        <f t="shared" si="135"/>
        <v>x</v>
      </c>
      <c r="FI39" s="358">
        <f t="shared" si="214"/>
        <v>0</v>
      </c>
      <c r="FJ39" s="358">
        <f t="shared" si="215"/>
        <v>0</v>
      </c>
      <c r="FK39" s="359">
        <f>IF(FJ39=1,FG49,0)</f>
        <v>0</v>
      </c>
      <c r="FL39" s="360">
        <f t="shared" si="216"/>
        <v>0</v>
      </c>
      <c r="FM39" s="361" t="e">
        <f t="shared" si="136"/>
        <v>#NUM!</v>
      </c>
      <c r="FN39" s="362">
        <f t="shared" si="137"/>
        <v>0</v>
      </c>
      <c r="FO39" s="218" t="str">
        <f t="shared" si="138"/>
        <v>x</v>
      </c>
      <c r="FP39" s="358">
        <f t="shared" si="217"/>
        <v>0</v>
      </c>
      <c r="FQ39" s="358">
        <f t="shared" si="218"/>
        <v>0</v>
      </c>
      <c r="FR39" s="359">
        <f>IF(FQ39=1,FN49,0)</f>
        <v>0</v>
      </c>
      <c r="FS39" s="360">
        <f t="shared" si="219"/>
        <v>0</v>
      </c>
      <c r="FT39" s="361" t="e">
        <f t="shared" si="139"/>
        <v>#NUM!</v>
      </c>
      <c r="FU39" s="362">
        <f t="shared" si="140"/>
        <v>0</v>
      </c>
      <c r="FV39" s="218" t="str">
        <f t="shared" si="141"/>
        <v>x</v>
      </c>
      <c r="FW39" s="358">
        <f t="shared" si="220"/>
        <v>0</v>
      </c>
      <c r="FX39" s="358">
        <f t="shared" si="221"/>
        <v>0</v>
      </c>
      <c r="FY39" s="359">
        <f>IF(FX39=1,FU49,0)</f>
        <v>0</v>
      </c>
      <c r="FZ39" s="360">
        <f t="shared" si="222"/>
        <v>0</v>
      </c>
      <c r="GA39" s="361" t="e">
        <f t="shared" si="142"/>
        <v>#NUM!</v>
      </c>
      <c r="GB39" s="362">
        <f t="shared" si="143"/>
        <v>0</v>
      </c>
      <c r="GC39" s="218" t="str">
        <f t="shared" si="144"/>
        <v>x</v>
      </c>
      <c r="GD39" s="358">
        <f t="shared" si="223"/>
        <v>0</v>
      </c>
      <c r="GE39" s="358">
        <f t="shared" si="224"/>
        <v>0</v>
      </c>
      <c r="GF39" s="359">
        <f>IF(GE39=1,GB49,0)</f>
        <v>0</v>
      </c>
      <c r="GG39" s="360">
        <f t="shared" si="225"/>
        <v>0</v>
      </c>
      <c r="GH39" s="361" t="e">
        <f t="shared" si="145"/>
        <v>#NUM!</v>
      </c>
      <c r="GI39" s="361"/>
      <c r="GJ39" s="361"/>
      <c r="GK39" s="368">
        <v>3.1E-4</v>
      </c>
      <c r="GL39" s="351">
        <f t="shared" si="146"/>
        <v>0</v>
      </c>
      <c r="GM39" s="537" t="str">
        <f t="shared" si="147"/>
        <v>X</v>
      </c>
      <c r="GN39" s="251" t="str">
        <f t="shared" si="148"/>
        <v>X</v>
      </c>
      <c r="GO39" s="251" t="e">
        <f t="shared" si="226"/>
        <v>#VALUE!</v>
      </c>
      <c r="GP39" s="352">
        <f t="shared" si="227"/>
        <v>1</v>
      </c>
      <c r="GQ39" s="354" t="e">
        <f t="shared" si="228"/>
        <v>#NUM!</v>
      </c>
      <c r="GR39" s="354" t="e">
        <f t="shared" si="229"/>
        <v>#NUM!</v>
      </c>
      <c r="GS39" s="355">
        <f t="shared" si="230"/>
        <v>0</v>
      </c>
      <c r="GT39" s="251" t="e">
        <f t="shared" si="231"/>
        <v>#NUM!</v>
      </c>
      <c r="GU39" s="218">
        <f t="shared" si="232"/>
        <v>0</v>
      </c>
      <c r="GV39" s="356">
        <f t="shared" si="233"/>
        <v>0</v>
      </c>
      <c r="GW39" s="587" t="e">
        <f t="shared" si="234"/>
        <v>#NUM!</v>
      </c>
      <c r="GX39" s="362">
        <f t="shared" si="235"/>
        <v>0</v>
      </c>
      <c r="GY39" s="218" t="str">
        <f t="shared" si="236"/>
        <v>x</v>
      </c>
      <c r="GZ39" s="358">
        <f t="shared" si="237"/>
        <v>0</v>
      </c>
      <c r="HA39" s="358">
        <f t="shared" si="268"/>
        <v>0</v>
      </c>
      <c r="HB39" s="359">
        <f t="shared" si="238"/>
        <v>0</v>
      </c>
      <c r="HC39" s="360">
        <f t="shared" si="269"/>
        <v>0</v>
      </c>
      <c r="HD39" s="361" t="e">
        <f t="shared" si="270"/>
        <v>#NUM!</v>
      </c>
      <c r="HE39" s="362">
        <f t="shared" si="239"/>
        <v>0</v>
      </c>
      <c r="HF39" s="218" t="str">
        <f t="shared" si="149"/>
        <v>x</v>
      </c>
      <c r="HG39" s="358">
        <f t="shared" si="240"/>
        <v>0</v>
      </c>
      <c r="HH39" s="358">
        <f t="shared" si="241"/>
        <v>0</v>
      </c>
      <c r="HI39" s="359">
        <f t="shared" si="242"/>
        <v>0</v>
      </c>
      <c r="HJ39" s="360">
        <f t="shared" si="243"/>
        <v>0</v>
      </c>
      <c r="HK39" s="361" t="e">
        <f t="shared" si="150"/>
        <v>#NUM!</v>
      </c>
      <c r="HL39" s="362">
        <f t="shared" si="244"/>
        <v>0</v>
      </c>
      <c r="HM39" s="218" t="str">
        <f t="shared" si="151"/>
        <v>x</v>
      </c>
      <c r="HN39" s="358">
        <f t="shared" si="245"/>
        <v>0</v>
      </c>
      <c r="HO39" s="358">
        <f t="shared" si="246"/>
        <v>0</v>
      </c>
      <c r="HP39" s="359">
        <f t="shared" si="247"/>
        <v>0</v>
      </c>
      <c r="HQ39" s="360">
        <f t="shared" si="248"/>
        <v>0</v>
      </c>
      <c r="HR39" s="361" t="e">
        <f t="shared" si="152"/>
        <v>#NUM!</v>
      </c>
      <c r="HS39" s="362">
        <f t="shared" si="249"/>
        <v>0</v>
      </c>
      <c r="HT39" s="218" t="str">
        <f t="shared" si="250"/>
        <v>x</v>
      </c>
      <c r="HU39" s="358">
        <f t="shared" si="251"/>
        <v>0</v>
      </c>
      <c r="HV39" s="358">
        <f t="shared" si="252"/>
        <v>0</v>
      </c>
      <c r="HW39" s="359">
        <f t="shared" si="253"/>
        <v>0</v>
      </c>
      <c r="HX39" s="360">
        <f t="shared" si="271"/>
        <v>0</v>
      </c>
      <c r="HY39" s="361" t="e">
        <f t="shared" si="254"/>
        <v>#NUM!</v>
      </c>
      <c r="HZ39" s="362">
        <f t="shared" si="255"/>
        <v>0</v>
      </c>
      <c r="IA39" s="218" t="str">
        <f t="shared" si="256"/>
        <v>x</v>
      </c>
      <c r="IB39" s="358">
        <f t="shared" si="257"/>
        <v>0</v>
      </c>
      <c r="IC39" s="358">
        <f t="shared" si="258"/>
        <v>0</v>
      </c>
      <c r="ID39" s="359">
        <f t="shared" si="259"/>
        <v>0</v>
      </c>
      <c r="IE39" s="360">
        <f t="shared" si="272"/>
        <v>0</v>
      </c>
      <c r="IF39" s="361" t="e">
        <f t="shared" si="260"/>
        <v>#NUM!</v>
      </c>
      <c r="IG39" s="594"/>
      <c r="IH39" s="575">
        <f t="shared" si="273"/>
        <v>0</v>
      </c>
      <c r="II39" s="363">
        <f t="shared" si="153"/>
        <v>0</v>
      </c>
      <c r="IJ39" s="576">
        <f t="shared" si="261"/>
        <v>0</v>
      </c>
      <c r="IK39" s="44"/>
      <c r="IL39" s="280"/>
      <c r="IM39" s="280">
        <f t="shared" si="262"/>
        <v>5</v>
      </c>
      <c r="IN39" s="341">
        <f t="shared" si="80"/>
        <v>0</v>
      </c>
      <c r="IO39" s="196" t="str">
        <f t="shared" si="154"/>
        <v xml:space="preserve"> </v>
      </c>
      <c r="IP39" s="342" t="str">
        <f t="shared" si="155"/>
        <v xml:space="preserve"> </v>
      </c>
      <c r="IQ39" s="280">
        <f t="shared" si="156"/>
        <v>0</v>
      </c>
      <c r="IR39" s="175">
        <f t="shared" si="81"/>
        <v>0</v>
      </c>
      <c r="IS39" s="280">
        <f t="shared" si="82"/>
        <v>1</v>
      </c>
      <c r="IT39" s="280">
        <f t="shared" si="83"/>
        <v>0</v>
      </c>
      <c r="IU39" s="280">
        <f t="shared" si="84"/>
        <v>0</v>
      </c>
      <c r="IV39" s="280">
        <f t="shared" si="85"/>
        <v>0</v>
      </c>
      <c r="IW39" s="280">
        <f t="shared" si="86"/>
        <v>0</v>
      </c>
      <c r="IX39" s="280">
        <f t="shared" si="87"/>
        <v>0</v>
      </c>
      <c r="IY39" s="280">
        <f t="shared" si="88"/>
        <v>0</v>
      </c>
      <c r="IZ39" s="280">
        <f t="shared" si="89"/>
        <v>0</v>
      </c>
      <c r="JA39" s="280">
        <f t="shared" si="90"/>
        <v>0</v>
      </c>
      <c r="JB39" s="280">
        <f t="shared" si="91"/>
        <v>0</v>
      </c>
      <c r="JC39" s="280">
        <f t="shared" si="92"/>
        <v>0</v>
      </c>
      <c r="JD39" s="280">
        <f t="shared" si="93"/>
        <v>0</v>
      </c>
      <c r="JE39" s="280">
        <f t="shared" si="94"/>
        <v>0</v>
      </c>
      <c r="JF39" s="280">
        <f t="shared" si="95"/>
        <v>0</v>
      </c>
      <c r="JG39" s="280">
        <f t="shared" si="96"/>
        <v>0</v>
      </c>
      <c r="JH39" s="280">
        <f t="shared" si="97"/>
        <v>0</v>
      </c>
      <c r="JI39" s="280">
        <f t="shared" si="98"/>
        <v>0</v>
      </c>
      <c r="JJ39" s="280">
        <f t="shared" si="99"/>
        <v>0</v>
      </c>
      <c r="JK39" s="280">
        <f t="shared" si="100"/>
        <v>0</v>
      </c>
      <c r="JL39" s="280">
        <f t="shared" si="101"/>
        <v>0</v>
      </c>
      <c r="JM39" s="280">
        <f t="shared" si="102"/>
        <v>0</v>
      </c>
      <c r="JN39" s="280">
        <f t="shared" si="103"/>
        <v>0</v>
      </c>
      <c r="JO39" s="280">
        <f t="shared" si="104"/>
        <v>0</v>
      </c>
      <c r="JP39" s="280">
        <f t="shared" si="105"/>
        <v>0</v>
      </c>
      <c r="JQ39" s="280">
        <f t="shared" si="106"/>
        <v>0</v>
      </c>
      <c r="JR39" s="280">
        <f t="shared" si="107"/>
        <v>0</v>
      </c>
      <c r="JS39" s="44">
        <f t="shared" si="157"/>
        <v>1</v>
      </c>
      <c r="JT39" s="343" t="str">
        <f t="shared" si="158"/>
        <v>F</v>
      </c>
      <c r="JU39" s="44"/>
      <c r="JV39" s="280">
        <f t="shared" si="159"/>
        <v>1</v>
      </c>
      <c r="JW39" s="280">
        <f t="shared" si="108"/>
        <v>0</v>
      </c>
      <c r="JX39" s="280">
        <f t="shared" si="109"/>
        <v>0</v>
      </c>
      <c r="JY39" s="280">
        <f t="shared" si="110"/>
        <v>0</v>
      </c>
      <c r="JZ39" s="280">
        <f t="shared" si="111"/>
        <v>0</v>
      </c>
      <c r="KA39" s="280">
        <f t="shared" si="112"/>
        <v>0</v>
      </c>
      <c r="KB39" s="44">
        <f t="shared" si="160"/>
        <v>1</v>
      </c>
      <c r="KC39" s="343" t="str">
        <f t="shared" si="161"/>
        <v>F</v>
      </c>
      <c r="KD39" s="280"/>
      <c r="KE39" s="280"/>
      <c r="KF39" s="280"/>
      <c r="KG39" s="280"/>
      <c r="KH39" s="280"/>
      <c r="KI39" s="280"/>
      <c r="KJ39" s="280"/>
      <c r="KK39" s="280"/>
      <c r="KP39" s="282"/>
      <c r="KW39" s="344"/>
      <c r="KX39" s="81"/>
      <c r="KY39" s="268"/>
      <c r="KZ39" s="268"/>
      <c r="LB39" s="345">
        <v>4</v>
      </c>
      <c r="LC39" s="204" t="s">
        <v>830</v>
      </c>
      <c r="LD39" s="169" t="s">
        <v>18</v>
      </c>
      <c r="LE39" s="347" t="s">
        <v>832</v>
      </c>
      <c r="LF39" s="169"/>
      <c r="LG39" s="169"/>
      <c r="LH39" s="169"/>
      <c r="LI39" s="169"/>
      <c r="LJ39" s="169"/>
      <c r="LK39" s="169"/>
      <c r="LL39" s="169"/>
      <c r="LM39" s="169"/>
      <c r="LN39" s="348"/>
    </row>
    <row r="40" spans="19:333" ht="16.149999999999999" customHeight="1" x14ac:dyDescent="0.25">
      <c r="S40" s="653"/>
      <c r="T40" s="1531"/>
      <c r="U40" s="1504" t="str">
        <f t="shared" si="63"/>
        <v/>
      </c>
      <c r="V40" s="1505"/>
      <c r="W40" s="1506"/>
      <c r="X40" s="817"/>
      <c r="Y40" s="862"/>
      <c r="Z40" s="1114" t="str">
        <f t="shared" si="64"/>
        <v xml:space="preserve"> </v>
      </c>
      <c r="AA40" s="276"/>
      <c r="AB40" s="1504" t="str">
        <f t="shared" si="65"/>
        <v/>
      </c>
      <c r="AC40" s="1505"/>
      <c r="AD40" s="1506"/>
      <c r="AE40" s="817"/>
      <c r="AF40" s="862"/>
      <c r="AG40" s="554" t="str">
        <f t="shared" si="66"/>
        <v xml:space="preserve"> </v>
      </c>
      <c r="AH40" s="276"/>
      <c r="AI40" s="1504" t="str">
        <f t="shared" ref="AI40:AI46" si="276">BC120</f>
        <v/>
      </c>
      <c r="AJ40" s="1505"/>
      <c r="AK40" s="1506"/>
      <c r="AL40" s="817"/>
      <c r="AM40" s="818"/>
      <c r="AN40" s="1114" t="str">
        <f t="shared" si="67"/>
        <v xml:space="preserve"> </v>
      </c>
      <c r="AO40" s="348"/>
      <c r="AP40" s="719"/>
      <c r="AQ40" s="719"/>
      <c r="AR40" s="285"/>
      <c r="AS40" s="720"/>
      <c r="AT40" s="719"/>
      <c r="AU40" s="126"/>
      <c r="AV40" s="126"/>
      <c r="AW40" s="655"/>
      <c r="AX40" s="78">
        <f t="shared" si="68"/>
        <v>0</v>
      </c>
      <c r="AY40" s="78">
        <f t="shared" si="69"/>
        <v>0</v>
      </c>
      <c r="AZ40" s="78">
        <f t="shared" si="70"/>
        <v>0</v>
      </c>
      <c r="BA40" s="78">
        <f t="shared" si="71"/>
        <v>0</v>
      </c>
      <c r="BB40" s="78">
        <f t="shared" si="72"/>
        <v>0</v>
      </c>
      <c r="BC40" s="78">
        <f t="shared" si="73"/>
        <v>0</v>
      </c>
      <c r="BD40" s="78">
        <f t="shared" si="74"/>
        <v>0</v>
      </c>
      <c r="BE40" s="78">
        <f t="shared" si="75"/>
        <v>0</v>
      </c>
      <c r="BF40" s="78">
        <f t="shared" si="76"/>
        <v>0</v>
      </c>
      <c r="BG40" s="78">
        <f t="shared" si="77"/>
        <v>0</v>
      </c>
      <c r="BH40" s="78">
        <f t="shared" si="78"/>
        <v>0</v>
      </c>
      <c r="BI40" s="78">
        <f t="shared" si="79"/>
        <v>0</v>
      </c>
      <c r="BJ40" s="78">
        <f t="shared" si="113"/>
        <v>0</v>
      </c>
      <c r="BK40" s="78">
        <f t="shared" si="114"/>
        <v>0</v>
      </c>
      <c r="BS40" s="81"/>
      <c r="BT40" s="81"/>
      <c r="BU40" s="81"/>
      <c r="BV40" s="81"/>
      <c r="BW40" s="81"/>
      <c r="BX40" s="81"/>
      <c r="BY40" s="81"/>
      <c r="BZ40" s="81">
        <f t="shared" si="263"/>
        <v>5</v>
      </c>
      <c r="CA40" s="368">
        <v>4.0999999999999999E-4</v>
      </c>
      <c r="CB40" s="351">
        <f t="shared" si="162"/>
        <v>0</v>
      </c>
      <c r="CC40" s="537" t="str">
        <f t="shared" si="115"/>
        <v>X</v>
      </c>
      <c r="CD40" s="251" t="str">
        <f t="shared" si="116"/>
        <v>X</v>
      </c>
      <c r="CE40" s="251" t="e">
        <f t="shared" si="163"/>
        <v>#VALUE!</v>
      </c>
      <c r="CF40" s="352">
        <f t="shared" si="164"/>
        <v>1</v>
      </c>
      <c r="CG40" s="353" t="e">
        <f t="shared" si="165"/>
        <v>#NUM!</v>
      </c>
      <c r="CH40" s="354" t="e">
        <f t="shared" si="166"/>
        <v>#NUM!</v>
      </c>
      <c r="CI40" s="355">
        <f t="shared" si="167"/>
        <v>0</v>
      </c>
      <c r="CJ40" s="251" t="e">
        <f t="shared" si="168"/>
        <v>#NUM!</v>
      </c>
      <c r="CK40" s="218">
        <f>CI40+CK41</f>
        <v>0</v>
      </c>
      <c r="CL40" s="356">
        <f t="shared" si="170"/>
        <v>0</v>
      </c>
      <c r="CM40" s="357" t="e">
        <f t="shared" si="171"/>
        <v>#NUM!</v>
      </c>
      <c r="CN40" s="218">
        <f t="shared" si="172"/>
        <v>0</v>
      </c>
      <c r="CO40" s="218" t="str">
        <f t="shared" si="173"/>
        <v>x</v>
      </c>
      <c r="CP40" s="358">
        <f t="shared" si="174"/>
        <v>0</v>
      </c>
      <c r="CQ40" s="358">
        <f t="shared" si="175"/>
        <v>0</v>
      </c>
      <c r="CR40" s="359">
        <f t="shared" si="176"/>
        <v>0</v>
      </c>
      <c r="CS40" s="360">
        <f t="shared" si="177"/>
        <v>0</v>
      </c>
      <c r="CT40" s="361" t="e">
        <f>CS40*CM40</f>
        <v>#NUM!</v>
      </c>
      <c r="CU40" s="362">
        <f t="shared" si="178"/>
        <v>0</v>
      </c>
      <c r="CV40" s="218" t="str">
        <f t="shared" si="179"/>
        <v>x</v>
      </c>
      <c r="CW40" s="358">
        <f t="shared" si="180"/>
        <v>0</v>
      </c>
      <c r="CX40" s="358">
        <f t="shared" si="181"/>
        <v>0</v>
      </c>
      <c r="CY40" s="359">
        <f t="shared" si="265"/>
        <v>0</v>
      </c>
      <c r="CZ40" s="360">
        <f t="shared" si="182"/>
        <v>0</v>
      </c>
      <c r="DA40" s="361" t="e">
        <f t="shared" si="274"/>
        <v>#NUM!</v>
      </c>
      <c r="DB40" s="362">
        <f t="shared" si="183"/>
        <v>0</v>
      </c>
      <c r="DC40" s="218" t="str">
        <f t="shared" si="184"/>
        <v>x</v>
      </c>
      <c r="DD40" s="358">
        <f t="shared" si="185"/>
        <v>0</v>
      </c>
      <c r="DE40" s="358">
        <f t="shared" si="186"/>
        <v>0</v>
      </c>
      <c r="DF40" s="359">
        <f t="shared" si="187"/>
        <v>0</v>
      </c>
      <c r="DG40" s="360">
        <f t="shared" si="188"/>
        <v>0</v>
      </c>
      <c r="DH40" s="361" t="e">
        <f t="shared" si="189"/>
        <v>#NUM!</v>
      </c>
      <c r="DI40" s="362">
        <f t="shared" si="190"/>
        <v>0</v>
      </c>
      <c r="DJ40" s="218" t="str">
        <f t="shared" si="191"/>
        <v>x</v>
      </c>
      <c r="DK40" s="358">
        <f t="shared" si="192"/>
        <v>0</v>
      </c>
      <c r="DL40" s="358">
        <f t="shared" si="193"/>
        <v>0</v>
      </c>
      <c r="DM40" s="359">
        <f t="shared" si="194"/>
        <v>0</v>
      </c>
      <c r="DN40" s="360">
        <f t="shared" si="195"/>
        <v>0</v>
      </c>
      <c r="DO40" s="361" t="e">
        <f t="shared" si="196"/>
        <v>#NUM!</v>
      </c>
      <c r="DP40" s="361"/>
      <c r="DQ40" s="361">
        <f t="shared" si="266"/>
        <v>5</v>
      </c>
      <c r="DR40" s="368">
        <v>4.0999999999999999E-4</v>
      </c>
      <c r="DS40" s="351">
        <f t="shared" si="197"/>
        <v>0</v>
      </c>
      <c r="DT40" s="537" t="str">
        <f t="shared" si="117"/>
        <v>X</v>
      </c>
      <c r="DU40" s="251" t="str">
        <f t="shared" si="118"/>
        <v>X</v>
      </c>
      <c r="DV40" s="251" t="e">
        <f t="shared" si="198"/>
        <v>#VALUE!</v>
      </c>
      <c r="DW40" s="352">
        <f t="shared" si="275"/>
        <v>1</v>
      </c>
      <c r="DX40" s="354" t="e">
        <f t="shared" si="199"/>
        <v>#NUM!</v>
      </c>
      <c r="DY40" s="354" t="e">
        <f t="shared" si="267"/>
        <v>#NUM!</v>
      </c>
      <c r="DZ40" s="355">
        <f t="shared" si="200"/>
        <v>0</v>
      </c>
      <c r="EA40" s="251" t="e">
        <f t="shared" si="201"/>
        <v>#NUM!</v>
      </c>
      <c r="EB40" s="218">
        <f>DZ40+EB41</f>
        <v>0</v>
      </c>
      <c r="EC40" s="356">
        <f t="shared" si="203"/>
        <v>0</v>
      </c>
      <c r="ED40" s="587" t="e">
        <f t="shared" si="204"/>
        <v>#NUM!</v>
      </c>
      <c r="EE40" s="362">
        <f t="shared" si="119"/>
        <v>0</v>
      </c>
      <c r="EF40" s="218" t="str">
        <f t="shared" si="120"/>
        <v>x</v>
      </c>
      <c r="EG40" s="608">
        <f t="shared" si="121"/>
        <v>0</v>
      </c>
      <c r="EH40" s="608">
        <f t="shared" si="122"/>
        <v>0</v>
      </c>
      <c r="EI40" s="359">
        <f>IF(EH40=1,EE49,0)</f>
        <v>0</v>
      </c>
      <c r="EJ40" s="360">
        <f t="shared" si="123"/>
        <v>0</v>
      </c>
      <c r="EK40" s="361" t="e">
        <f t="shared" si="124"/>
        <v>#NUM!</v>
      </c>
      <c r="EL40" s="362">
        <f t="shared" si="125"/>
        <v>0</v>
      </c>
      <c r="EM40" s="218" t="str">
        <f t="shared" si="126"/>
        <v>x</v>
      </c>
      <c r="EN40" s="358">
        <f t="shared" si="205"/>
        <v>0</v>
      </c>
      <c r="EO40" s="358">
        <f t="shared" si="206"/>
        <v>0</v>
      </c>
      <c r="EP40" s="359">
        <f>IF(EO40=1,EL49,0)</f>
        <v>0</v>
      </c>
      <c r="EQ40" s="360">
        <f t="shared" si="207"/>
        <v>0</v>
      </c>
      <c r="ER40" s="361" t="e">
        <f t="shared" si="127"/>
        <v>#NUM!</v>
      </c>
      <c r="ES40" s="362">
        <f t="shared" si="128"/>
        <v>0</v>
      </c>
      <c r="ET40" s="218" t="str">
        <f t="shared" si="129"/>
        <v>x</v>
      </c>
      <c r="EU40" s="358">
        <f t="shared" si="208"/>
        <v>0</v>
      </c>
      <c r="EV40" s="358">
        <f t="shared" si="209"/>
        <v>0</v>
      </c>
      <c r="EW40" s="359">
        <f>IF(EV40=1,ES49,0)</f>
        <v>0</v>
      </c>
      <c r="EX40" s="360">
        <f t="shared" si="210"/>
        <v>0</v>
      </c>
      <c r="EY40" s="361" t="e">
        <f t="shared" si="130"/>
        <v>#NUM!</v>
      </c>
      <c r="EZ40" s="362">
        <f t="shared" si="131"/>
        <v>0</v>
      </c>
      <c r="FA40" s="218" t="str">
        <f t="shared" si="132"/>
        <v>x</v>
      </c>
      <c r="FB40" s="358">
        <f t="shared" si="211"/>
        <v>0</v>
      </c>
      <c r="FC40" s="358">
        <f t="shared" si="212"/>
        <v>0</v>
      </c>
      <c r="FD40" s="359">
        <f>IF(FC40=1,EZ49,0)</f>
        <v>0</v>
      </c>
      <c r="FE40" s="360">
        <f t="shared" si="213"/>
        <v>0</v>
      </c>
      <c r="FF40" s="361" t="e">
        <f t="shared" si="133"/>
        <v>#NUM!</v>
      </c>
      <c r="FG40" s="362">
        <f t="shared" si="134"/>
        <v>0</v>
      </c>
      <c r="FH40" s="218" t="str">
        <f t="shared" si="135"/>
        <v>x</v>
      </c>
      <c r="FI40" s="358">
        <f t="shared" si="214"/>
        <v>0</v>
      </c>
      <c r="FJ40" s="358">
        <f t="shared" si="215"/>
        <v>0</v>
      </c>
      <c r="FK40" s="359">
        <f>IF(FJ40=1,FG49,0)</f>
        <v>0</v>
      </c>
      <c r="FL40" s="360">
        <f t="shared" si="216"/>
        <v>0</v>
      </c>
      <c r="FM40" s="361" t="e">
        <f t="shared" si="136"/>
        <v>#NUM!</v>
      </c>
      <c r="FN40" s="362">
        <f t="shared" si="137"/>
        <v>0</v>
      </c>
      <c r="FO40" s="218" t="str">
        <f t="shared" si="138"/>
        <v>x</v>
      </c>
      <c r="FP40" s="358">
        <f t="shared" si="217"/>
        <v>0</v>
      </c>
      <c r="FQ40" s="358">
        <f t="shared" si="218"/>
        <v>0</v>
      </c>
      <c r="FR40" s="359">
        <f>IF(FQ40=1,FN49,0)</f>
        <v>0</v>
      </c>
      <c r="FS40" s="360">
        <f t="shared" si="219"/>
        <v>0</v>
      </c>
      <c r="FT40" s="361" t="e">
        <f t="shared" si="139"/>
        <v>#NUM!</v>
      </c>
      <c r="FU40" s="362">
        <f t="shared" si="140"/>
        <v>0</v>
      </c>
      <c r="FV40" s="218" t="str">
        <f t="shared" si="141"/>
        <v>x</v>
      </c>
      <c r="FW40" s="358">
        <f t="shared" si="220"/>
        <v>0</v>
      </c>
      <c r="FX40" s="358">
        <f t="shared" si="221"/>
        <v>0</v>
      </c>
      <c r="FY40" s="359">
        <f>IF(FX40=1,FU49,0)</f>
        <v>0</v>
      </c>
      <c r="FZ40" s="360">
        <f t="shared" si="222"/>
        <v>0</v>
      </c>
      <c r="GA40" s="361" t="e">
        <f t="shared" si="142"/>
        <v>#NUM!</v>
      </c>
      <c r="GB40" s="362">
        <f t="shared" si="143"/>
        <v>0</v>
      </c>
      <c r="GC40" s="218" t="str">
        <f t="shared" si="144"/>
        <v>x</v>
      </c>
      <c r="GD40" s="358">
        <f t="shared" si="223"/>
        <v>0</v>
      </c>
      <c r="GE40" s="358">
        <f t="shared" si="224"/>
        <v>0</v>
      </c>
      <c r="GF40" s="359">
        <f>IF(GE40=1,GB49,0)</f>
        <v>0</v>
      </c>
      <c r="GG40" s="360">
        <f t="shared" si="225"/>
        <v>0</v>
      </c>
      <c r="GH40" s="361" t="e">
        <f t="shared" si="145"/>
        <v>#NUM!</v>
      </c>
      <c r="GI40" s="361"/>
      <c r="GJ40" s="361"/>
      <c r="GK40" s="368">
        <v>4.0999999999999999E-4</v>
      </c>
      <c r="GL40" s="351">
        <f t="shared" si="146"/>
        <v>0</v>
      </c>
      <c r="GM40" s="537" t="str">
        <f t="shared" si="147"/>
        <v>X</v>
      </c>
      <c r="GN40" s="251" t="str">
        <f t="shared" si="148"/>
        <v>X</v>
      </c>
      <c r="GO40" s="251" t="e">
        <f t="shared" si="226"/>
        <v>#VALUE!</v>
      </c>
      <c r="GP40" s="352">
        <f t="shared" si="227"/>
        <v>1</v>
      </c>
      <c r="GQ40" s="354" t="e">
        <f t="shared" si="228"/>
        <v>#NUM!</v>
      </c>
      <c r="GR40" s="354" t="e">
        <f t="shared" si="229"/>
        <v>#NUM!</v>
      </c>
      <c r="GS40" s="355">
        <f t="shared" si="230"/>
        <v>0</v>
      </c>
      <c r="GT40" s="251" t="e">
        <f t="shared" si="231"/>
        <v>#NUM!</v>
      </c>
      <c r="GU40" s="218">
        <f>GS40+GU41</f>
        <v>0</v>
      </c>
      <c r="GV40" s="356">
        <f t="shared" si="233"/>
        <v>0</v>
      </c>
      <c r="GW40" s="587" t="e">
        <f t="shared" si="234"/>
        <v>#NUM!</v>
      </c>
      <c r="GX40" s="362">
        <f t="shared" si="235"/>
        <v>0</v>
      </c>
      <c r="GY40" s="218" t="str">
        <f t="shared" si="236"/>
        <v>x</v>
      </c>
      <c r="GZ40" s="358">
        <f t="shared" si="237"/>
        <v>0</v>
      </c>
      <c r="HA40" s="358">
        <f t="shared" si="268"/>
        <v>0</v>
      </c>
      <c r="HB40" s="359">
        <f t="shared" si="238"/>
        <v>0</v>
      </c>
      <c r="HC40" s="360">
        <f t="shared" si="269"/>
        <v>0</v>
      </c>
      <c r="HD40" s="361" t="e">
        <f t="shared" si="270"/>
        <v>#NUM!</v>
      </c>
      <c r="HE40" s="362">
        <f t="shared" si="239"/>
        <v>0</v>
      </c>
      <c r="HF40" s="218" t="str">
        <f t="shared" si="149"/>
        <v>x</v>
      </c>
      <c r="HG40" s="358">
        <f t="shared" si="240"/>
        <v>0</v>
      </c>
      <c r="HH40" s="358">
        <f t="shared" si="241"/>
        <v>0</v>
      </c>
      <c r="HI40" s="359">
        <f t="shared" si="242"/>
        <v>0</v>
      </c>
      <c r="HJ40" s="360">
        <f t="shared" si="243"/>
        <v>0</v>
      </c>
      <c r="HK40" s="361" t="e">
        <f t="shared" si="150"/>
        <v>#NUM!</v>
      </c>
      <c r="HL40" s="362">
        <f t="shared" si="244"/>
        <v>0</v>
      </c>
      <c r="HM40" s="218" t="str">
        <f t="shared" si="151"/>
        <v>x</v>
      </c>
      <c r="HN40" s="358">
        <f t="shared" si="245"/>
        <v>0</v>
      </c>
      <c r="HO40" s="358">
        <f t="shared" si="246"/>
        <v>0</v>
      </c>
      <c r="HP40" s="359">
        <f t="shared" si="247"/>
        <v>0</v>
      </c>
      <c r="HQ40" s="360">
        <f t="shared" si="248"/>
        <v>0</v>
      </c>
      <c r="HR40" s="361" t="e">
        <f t="shared" si="152"/>
        <v>#NUM!</v>
      </c>
      <c r="HS40" s="362">
        <f t="shared" si="249"/>
        <v>0</v>
      </c>
      <c r="HT40" s="218" t="str">
        <f t="shared" si="250"/>
        <v>x</v>
      </c>
      <c r="HU40" s="358">
        <f t="shared" si="251"/>
        <v>0</v>
      </c>
      <c r="HV40" s="358">
        <f t="shared" si="252"/>
        <v>0</v>
      </c>
      <c r="HW40" s="359">
        <f t="shared" si="253"/>
        <v>0</v>
      </c>
      <c r="HX40" s="360">
        <f t="shared" si="271"/>
        <v>0</v>
      </c>
      <c r="HY40" s="361" t="e">
        <f t="shared" si="254"/>
        <v>#NUM!</v>
      </c>
      <c r="HZ40" s="362">
        <f t="shared" si="255"/>
        <v>0</v>
      </c>
      <c r="IA40" s="218" t="str">
        <f t="shared" si="256"/>
        <v>x</v>
      </c>
      <c r="IB40" s="358">
        <f t="shared" si="257"/>
        <v>0</v>
      </c>
      <c r="IC40" s="358">
        <f t="shared" si="258"/>
        <v>0</v>
      </c>
      <c r="ID40" s="359">
        <f t="shared" si="259"/>
        <v>0</v>
      </c>
      <c r="IE40" s="360">
        <f t="shared" si="272"/>
        <v>0</v>
      </c>
      <c r="IF40" s="361" t="e">
        <f t="shared" si="260"/>
        <v>#NUM!</v>
      </c>
      <c r="IG40" s="320"/>
      <c r="IH40" s="575">
        <f t="shared" si="273"/>
        <v>0</v>
      </c>
      <c r="II40" s="363">
        <f t="shared" si="153"/>
        <v>0</v>
      </c>
      <c r="IJ40" s="577"/>
      <c r="IK40" s="44"/>
      <c r="IL40" s="280"/>
      <c r="IM40" s="280">
        <f t="shared" si="262"/>
        <v>6</v>
      </c>
      <c r="IN40" s="341">
        <f t="shared" si="80"/>
        <v>0</v>
      </c>
      <c r="IO40" s="196" t="str">
        <f t="shared" si="154"/>
        <v xml:space="preserve"> </v>
      </c>
      <c r="IP40" s="342" t="str">
        <f t="shared" si="155"/>
        <v xml:space="preserve"> </v>
      </c>
      <c r="IQ40" s="280">
        <f t="shared" si="156"/>
        <v>0</v>
      </c>
      <c r="IR40" s="175">
        <f t="shared" si="81"/>
        <v>0</v>
      </c>
      <c r="IS40" s="280">
        <f t="shared" si="82"/>
        <v>1</v>
      </c>
      <c r="IT40" s="280">
        <f t="shared" si="83"/>
        <v>0</v>
      </c>
      <c r="IU40" s="280">
        <f t="shared" si="84"/>
        <v>0</v>
      </c>
      <c r="IV40" s="280">
        <f t="shared" si="85"/>
        <v>0</v>
      </c>
      <c r="IW40" s="280">
        <f t="shared" si="86"/>
        <v>0</v>
      </c>
      <c r="IX40" s="280">
        <f t="shared" si="87"/>
        <v>0</v>
      </c>
      <c r="IY40" s="280">
        <f t="shared" si="88"/>
        <v>0</v>
      </c>
      <c r="IZ40" s="280">
        <f t="shared" si="89"/>
        <v>0</v>
      </c>
      <c r="JA40" s="280">
        <f t="shared" si="90"/>
        <v>0</v>
      </c>
      <c r="JB40" s="280">
        <f t="shared" si="91"/>
        <v>0</v>
      </c>
      <c r="JC40" s="280">
        <f t="shared" si="92"/>
        <v>0</v>
      </c>
      <c r="JD40" s="280">
        <f t="shared" si="93"/>
        <v>0</v>
      </c>
      <c r="JE40" s="280">
        <f t="shared" si="94"/>
        <v>0</v>
      </c>
      <c r="JF40" s="280">
        <f t="shared" si="95"/>
        <v>0</v>
      </c>
      <c r="JG40" s="280">
        <f t="shared" si="96"/>
        <v>0</v>
      </c>
      <c r="JH40" s="280">
        <f t="shared" si="97"/>
        <v>0</v>
      </c>
      <c r="JI40" s="280">
        <f t="shared" si="98"/>
        <v>0</v>
      </c>
      <c r="JJ40" s="280">
        <f t="shared" si="99"/>
        <v>0</v>
      </c>
      <c r="JK40" s="280">
        <f t="shared" si="100"/>
        <v>0</v>
      </c>
      <c r="JL40" s="280">
        <f t="shared" si="101"/>
        <v>0</v>
      </c>
      <c r="JM40" s="280">
        <f t="shared" si="102"/>
        <v>0</v>
      </c>
      <c r="JN40" s="280">
        <f t="shared" si="103"/>
        <v>0</v>
      </c>
      <c r="JO40" s="280">
        <f t="shared" si="104"/>
        <v>0</v>
      </c>
      <c r="JP40" s="280">
        <f t="shared" si="105"/>
        <v>0</v>
      </c>
      <c r="JQ40" s="280">
        <f t="shared" si="106"/>
        <v>0</v>
      </c>
      <c r="JR40" s="280">
        <f t="shared" si="107"/>
        <v>0</v>
      </c>
      <c r="JS40" s="44">
        <f t="shared" si="157"/>
        <v>1</v>
      </c>
      <c r="JT40" s="343" t="str">
        <f t="shared" si="158"/>
        <v>F</v>
      </c>
      <c r="JU40" s="44"/>
      <c r="JV40" s="280">
        <f t="shared" si="159"/>
        <v>1</v>
      </c>
      <c r="JW40" s="280">
        <f t="shared" si="108"/>
        <v>0</v>
      </c>
      <c r="JX40" s="280">
        <f t="shared" si="109"/>
        <v>0</v>
      </c>
      <c r="JY40" s="280">
        <f t="shared" si="110"/>
        <v>0</v>
      </c>
      <c r="JZ40" s="280">
        <f t="shared" si="111"/>
        <v>0</v>
      </c>
      <c r="KA40" s="280">
        <f t="shared" si="112"/>
        <v>0</v>
      </c>
      <c r="KB40" s="44">
        <f t="shared" si="160"/>
        <v>1</v>
      </c>
      <c r="KC40" s="343" t="str">
        <f t="shared" si="161"/>
        <v>F</v>
      </c>
      <c r="KD40" s="280"/>
      <c r="KE40" s="280"/>
      <c r="KF40" s="280"/>
      <c r="KG40" s="280"/>
      <c r="KH40" s="280"/>
      <c r="KI40" s="280"/>
      <c r="KJ40" s="280"/>
      <c r="KK40" s="280"/>
      <c r="KM40" s="282"/>
      <c r="KN40" s="282"/>
      <c r="KO40" s="282"/>
      <c r="KP40" s="282"/>
      <c r="KW40" s="344"/>
      <c r="KX40" s="81"/>
      <c r="KY40" s="268"/>
      <c r="KZ40" s="268"/>
      <c r="LB40" s="345">
        <v>5</v>
      </c>
      <c r="LC40" s="204" t="s">
        <v>830</v>
      </c>
      <c r="LD40" s="169" t="s">
        <v>20</v>
      </c>
      <c r="LE40" s="347" t="s">
        <v>833</v>
      </c>
      <c r="LF40" s="169"/>
      <c r="LG40" s="169"/>
      <c r="LH40" s="169"/>
      <c r="LI40" s="169"/>
      <c r="LJ40" s="169"/>
      <c r="LK40" s="169"/>
      <c r="LL40" s="169"/>
      <c r="LM40" s="169"/>
      <c r="LN40" s="348"/>
    </row>
    <row r="41" spans="19:333" ht="16.149999999999999" customHeight="1" x14ac:dyDescent="0.25">
      <c r="S41" s="653"/>
      <c r="T41" s="1531"/>
      <c r="U41" s="1504" t="str">
        <f t="shared" si="63"/>
        <v/>
      </c>
      <c r="V41" s="1505"/>
      <c r="W41" s="1506"/>
      <c r="X41" s="817"/>
      <c r="Y41" s="862"/>
      <c r="Z41" s="1114" t="str">
        <f t="shared" si="64"/>
        <v xml:space="preserve"> </v>
      </c>
      <c r="AA41" s="276"/>
      <c r="AB41" s="1504" t="str">
        <f t="shared" si="65"/>
        <v/>
      </c>
      <c r="AC41" s="1505"/>
      <c r="AD41" s="1506"/>
      <c r="AE41" s="817"/>
      <c r="AF41" s="862"/>
      <c r="AG41" s="554" t="str">
        <f t="shared" si="66"/>
        <v xml:space="preserve"> </v>
      </c>
      <c r="AH41" s="276"/>
      <c r="AI41" s="1504" t="str">
        <f t="shared" si="276"/>
        <v/>
      </c>
      <c r="AJ41" s="1505"/>
      <c r="AK41" s="1506"/>
      <c r="AL41" s="817"/>
      <c r="AM41" s="818"/>
      <c r="AN41" s="1114" t="str">
        <f t="shared" si="67"/>
        <v xml:space="preserve"> </v>
      </c>
      <c r="AO41" s="167"/>
      <c r="AP41" s="719"/>
      <c r="AQ41" s="719"/>
      <c r="AR41" s="285"/>
      <c r="AS41" s="720"/>
      <c r="AT41" s="719"/>
      <c r="AU41" s="126"/>
      <c r="AV41" s="126"/>
      <c r="AW41" s="655"/>
      <c r="AX41" s="78">
        <f t="shared" si="68"/>
        <v>0</v>
      </c>
      <c r="AY41" s="78">
        <f t="shared" si="69"/>
        <v>0</v>
      </c>
      <c r="AZ41" s="78">
        <f t="shared" si="70"/>
        <v>0</v>
      </c>
      <c r="BA41" s="78">
        <f t="shared" si="71"/>
        <v>0</v>
      </c>
      <c r="BB41" s="78">
        <f t="shared" si="72"/>
        <v>0</v>
      </c>
      <c r="BC41" s="78">
        <f t="shared" si="73"/>
        <v>0</v>
      </c>
      <c r="BD41" s="78">
        <f t="shared" si="74"/>
        <v>0</v>
      </c>
      <c r="BE41" s="78">
        <f t="shared" si="75"/>
        <v>0</v>
      </c>
      <c r="BF41" s="78">
        <f t="shared" si="76"/>
        <v>0</v>
      </c>
      <c r="BG41" s="78">
        <f t="shared" si="77"/>
        <v>0</v>
      </c>
      <c r="BH41" s="78">
        <f t="shared" si="78"/>
        <v>0</v>
      </c>
      <c r="BI41" s="78">
        <f t="shared" si="79"/>
        <v>0</v>
      </c>
      <c r="BJ41" s="78">
        <f t="shared" si="113"/>
        <v>0</v>
      </c>
      <c r="BK41" s="78">
        <f t="shared" si="114"/>
        <v>0</v>
      </c>
      <c r="BS41" s="81"/>
      <c r="BT41" s="81"/>
      <c r="BU41" s="81" t="e">
        <f>$BU$38*0.25</f>
        <v>#NUM!</v>
      </c>
      <c r="BV41" s="81" t="e">
        <f>$BV$38*0.75</f>
        <v>#NUM!</v>
      </c>
      <c r="BW41" s="81"/>
      <c r="BX41" s="282" t="e">
        <f>BW41+BV41+BU41</f>
        <v>#NUM!</v>
      </c>
      <c r="BY41" s="81"/>
      <c r="BZ41" s="81">
        <f t="shared" si="263"/>
        <v>6</v>
      </c>
      <c r="CA41" s="368">
        <v>5.1000000000000004E-4</v>
      </c>
      <c r="CB41" s="351">
        <f t="shared" si="162"/>
        <v>0</v>
      </c>
      <c r="CC41" s="537" t="str">
        <f t="shared" si="115"/>
        <v>X</v>
      </c>
      <c r="CD41" s="251" t="str">
        <f t="shared" si="116"/>
        <v>X</v>
      </c>
      <c r="CE41" s="251" t="e">
        <f t="shared" si="163"/>
        <v>#VALUE!</v>
      </c>
      <c r="CF41" s="352">
        <f t="shared" si="164"/>
        <v>1</v>
      </c>
      <c r="CG41" s="353" t="e">
        <f t="shared" si="165"/>
        <v>#NUM!</v>
      </c>
      <c r="CH41" s="354" t="e">
        <f t="shared" si="166"/>
        <v>#NUM!</v>
      </c>
      <c r="CI41" s="355">
        <f t="shared" si="167"/>
        <v>0</v>
      </c>
      <c r="CJ41" s="251" t="e">
        <f t="shared" si="168"/>
        <v>#NUM!</v>
      </c>
      <c r="CK41" s="218">
        <f t="shared" si="169"/>
        <v>0</v>
      </c>
      <c r="CL41" s="356">
        <f t="shared" si="170"/>
        <v>0</v>
      </c>
      <c r="CM41" s="357" t="e">
        <f t="shared" si="171"/>
        <v>#NUM!</v>
      </c>
      <c r="CN41" s="218">
        <f t="shared" si="172"/>
        <v>0</v>
      </c>
      <c r="CO41" s="218" t="str">
        <f t="shared" si="173"/>
        <v>x</v>
      </c>
      <c r="CP41" s="358">
        <f t="shared" si="174"/>
        <v>0</v>
      </c>
      <c r="CQ41" s="358">
        <f t="shared" si="175"/>
        <v>0</v>
      </c>
      <c r="CR41" s="359">
        <f t="shared" si="176"/>
        <v>0</v>
      </c>
      <c r="CS41" s="360">
        <f t="shared" si="177"/>
        <v>0</v>
      </c>
      <c r="CT41" s="361" t="e">
        <f t="shared" si="264"/>
        <v>#NUM!</v>
      </c>
      <c r="CU41" s="362">
        <f t="shared" si="178"/>
        <v>0</v>
      </c>
      <c r="CV41" s="218" t="str">
        <f t="shared" si="179"/>
        <v>x</v>
      </c>
      <c r="CW41" s="358">
        <f t="shared" si="180"/>
        <v>0</v>
      </c>
      <c r="CX41" s="358">
        <f t="shared" si="181"/>
        <v>0</v>
      </c>
      <c r="CY41" s="359">
        <f t="shared" si="265"/>
        <v>0</v>
      </c>
      <c r="CZ41" s="360">
        <f t="shared" si="182"/>
        <v>0</v>
      </c>
      <c r="DA41" s="361" t="e">
        <f t="shared" si="274"/>
        <v>#NUM!</v>
      </c>
      <c r="DB41" s="362">
        <f t="shared" si="183"/>
        <v>0</v>
      </c>
      <c r="DC41" s="218" t="str">
        <f t="shared" si="184"/>
        <v>x</v>
      </c>
      <c r="DD41" s="358">
        <f t="shared" si="185"/>
        <v>0</v>
      </c>
      <c r="DE41" s="358">
        <f t="shared" si="186"/>
        <v>0</v>
      </c>
      <c r="DF41" s="359">
        <f t="shared" si="187"/>
        <v>0</v>
      </c>
      <c r="DG41" s="360">
        <f t="shared" si="188"/>
        <v>0</v>
      </c>
      <c r="DH41" s="361" t="e">
        <f t="shared" si="189"/>
        <v>#NUM!</v>
      </c>
      <c r="DI41" s="362">
        <f t="shared" si="190"/>
        <v>0</v>
      </c>
      <c r="DJ41" s="218" t="str">
        <f t="shared" si="191"/>
        <v>x</v>
      </c>
      <c r="DK41" s="358">
        <f t="shared" si="192"/>
        <v>0</v>
      </c>
      <c r="DL41" s="358">
        <f t="shared" si="193"/>
        <v>0</v>
      </c>
      <c r="DM41" s="359">
        <f t="shared" si="194"/>
        <v>0</v>
      </c>
      <c r="DN41" s="360">
        <f t="shared" si="195"/>
        <v>0</v>
      </c>
      <c r="DO41" s="361" t="e">
        <f t="shared" si="196"/>
        <v>#NUM!</v>
      </c>
      <c r="DP41" s="361"/>
      <c r="DQ41" s="361">
        <f t="shared" si="266"/>
        <v>6</v>
      </c>
      <c r="DR41" s="368">
        <v>5.1000000000000004E-4</v>
      </c>
      <c r="DS41" s="351">
        <f t="shared" si="197"/>
        <v>0</v>
      </c>
      <c r="DT41" s="537" t="str">
        <f t="shared" si="117"/>
        <v>X</v>
      </c>
      <c r="DU41" s="251" t="str">
        <f t="shared" si="118"/>
        <v>X</v>
      </c>
      <c r="DV41" s="251" t="e">
        <f t="shared" si="198"/>
        <v>#VALUE!</v>
      </c>
      <c r="DW41" s="352">
        <f t="shared" si="275"/>
        <v>1</v>
      </c>
      <c r="DX41" s="354" t="e">
        <f t="shared" si="199"/>
        <v>#NUM!</v>
      </c>
      <c r="DY41" s="354" t="e">
        <f t="shared" si="267"/>
        <v>#NUM!</v>
      </c>
      <c r="DZ41" s="355">
        <f t="shared" si="200"/>
        <v>0</v>
      </c>
      <c r="EA41" s="251" t="e">
        <f t="shared" si="201"/>
        <v>#NUM!</v>
      </c>
      <c r="EB41" s="218">
        <f t="shared" si="202"/>
        <v>0</v>
      </c>
      <c r="EC41" s="356">
        <f t="shared" si="203"/>
        <v>0</v>
      </c>
      <c r="ED41" s="587" t="e">
        <f t="shared" si="204"/>
        <v>#NUM!</v>
      </c>
      <c r="EE41" s="362">
        <f t="shared" si="119"/>
        <v>0</v>
      </c>
      <c r="EF41" s="218" t="str">
        <f t="shared" si="120"/>
        <v>x</v>
      </c>
      <c r="EG41" s="608">
        <f t="shared" si="121"/>
        <v>0</v>
      </c>
      <c r="EH41" s="608">
        <f t="shared" si="122"/>
        <v>0</v>
      </c>
      <c r="EI41" s="359">
        <f>IF(EH41=1,EE49,0)</f>
        <v>0</v>
      </c>
      <c r="EJ41" s="360">
        <f t="shared" si="123"/>
        <v>0</v>
      </c>
      <c r="EK41" s="361" t="e">
        <f t="shared" si="124"/>
        <v>#NUM!</v>
      </c>
      <c r="EL41" s="362">
        <f t="shared" si="125"/>
        <v>0</v>
      </c>
      <c r="EM41" s="218" t="str">
        <f t="shared" si="126"/>
        <v>x</v>
      </c>
      <c r="EN41" s="358">
        <f t="shared" si="205"/>
        <v>0</v>
      </c>
      <c r="EO41" s="358">
        <f t="shared" si="206"/>
        <v>0</v>
      </c>
      <c r="EP41" s="359">
        <f>IF(EO41=1,EL49,0)</f>
        <v>0</v>
      </c>
      <c r="EQ41" s="360">
        <f t="shared" si="207"/>
        <v>0</v>
      </c>
      <c r="ER41" s="361" t="e">
        <f t="shared" si="127"/>
        <v>#NUM!</v>
      </c>
      <c r="ES41" s="362">
        <f t="shared" si="128"/>
        <v>0</v>
      </c>
      <c r="ET41" s="218" t="str">
        <f t="shared" si="129"/>
        <v>x</v>
      </c>
      <c r="EU41" s="358">
        <f t="shared" si="208"/>
        <v>0</v>
      </c>
      <c r="EV41" s="358">
        <f t="shared" si="209"/>
        <v>0</v>
      </c>
      <c r="EW41" s="359">
        <f>IF(EV41=1,ES49,0)</f>
        <v>0</v>
      </c>
      <c r="EX41" s="360">
        <f t="shared" si="210"/>
        <v>0</v>
      </c>
      <c r="EY41" s="361" t="e">
        <f t="shared" si="130"/>
        <v>#NUM!</v>
      </c>
      <c r="EZ41" s="362">
        <f t="shared" si="131"/>
        <v>0</v>
      </c>
      <c r="FA41" s="218" t="str">
        <f t="shared" si="132"/>
        <v>x</v>
      </c>
      <c r="FB41" s="358">
        <f t="shared" si="211"/>
        <v>0</v>
      </c>
      <c r="FC41" s="358">
        <f t="shared" si="212"/>
        <v>0</v>
      </c>
      <c r="FD41" s="359">
        <f>IF(FC41=1,EZ49,0)</f>
        <v>0</v>
      </c>
      <c r="FE41" s="360">
        <f t="shared" si="213"/>
        <v>0</v>
      </c>
      <c r="FF41" s="361" t="e">
        <f t="shared" si="133"/>
        <v>#NUM!</v>
      </c>
      <c r="FG41" s="362">
        <f t="shared" si="134"/>
        <v>0</v>
      </c>
      <c r="FH41" s="218" t="str">
        <f t="shared" si="135"/>
        <v>x</v>
      </c>
      <c r="FI41" s="358">
        <f t="shared" si="214"/>
        <v>0</v>
      </c>
      <c r="FJ41" s="358">
        <f t="shared" si="215"/>
        <v>0</v>
      </c>
      <c r="FK41" s="359">
        <f>IF(FJ41=1,FG49,0)</f>
        <v>0</v>
      </c>
      <c r="FL41" s="360">
        <f t="shared" si="216"/>
        <v>0</v>
      </c>
      <c r="FM41" s="361" t="e">
        <f t="shared" si="136"/>
        <v>#NUM!</v>
      </c>
      <c r="FN41" s="362">
        <f t="shared" si="137"/>
        <v>0</v>
      </c>
      <c r="FO41" s="218" t="str">
        <f t="shared" si="138"/>
        <v>x</v>
      </c>
      <c r="FP41" s="358">
        <f t="shared" si="217"/>
        <v>0</v>
      </c>
      <c r="FQ41" s="358">
        <f t="shared" si="218"/>
        <v>0</v>
      </c>
      <c r="FR41" s="359">
        <f>IF(FQ41=1,FN49,0)</f>
        <v>0</v>
      </c>
      <c r="FS41" s="360">
        <f t="shared" si="219"/>
        <v>0</v>
      </c>
      <c r="FT41" s="361" t="e">
        <f t="shared" si="139"/>
        <v>#NUM!</v>
      </c>
      <c r="FU41" s="362">
        <f t="shared" si="140"/>
        <v>0</v>
      </c>
      <c r="FV41" s="218" t="str">
        <f t="shared" si="141"/>
        <v>x</v>
      </c>
      <c r="FW41" s="358">
        <f t="shared" si="220"/>
        <v>0</v>
      </c>
      <c r="FX41" s="358">
        <f t="shared" si="221"/>
        <v>0</v>
      </c>
      <c r="FY41" s="359">
        <f>IF(FX41=1,FU49,0)</f>
        <v>0</v>
      </c>
      <c r="FZ41" s="360">
        <f t="shared" si="222"/>
        <v>0</v>
      </c>
      <c r="GA41" s="361" t="e">
        <f t="shared" si="142"/>
        <v>#NUM!</v>
      </c>
      <c r="GB41" s="362">
        <f t="shared" si="143"/>
        <v>0</v>
      </c>
      <c r="GC41" s="218" t="str">
        <f t="shared" si="144"/>
        <v>x</v>
      </c>
      <c r="GD41" s="358">
        <f t="shared" si="223"/>
        <v>0</v>
      </c>
      <c r="GE41" s="358">
        <f t="shared" si="224"/>
        <v>0</v>
      </c>
      <c r="GF41" s="359">
        <f>IF(GE41=1,GB49,0)</f>
        <v>0</v>
      </c>
      <c r="GG41" s="360">
        <f t="shared" si="225"/>
        <v>0</v>
      </c>
      <c r="GH41" s="361" t="e">
        <f t="shared" si="145"/>
        <v>#NUM!</v>
      </c>
      <c r="GI41" s="361"/>
      <c r="GJ41" s="361"/>
      <c r="GK41" s="368">
        <v>5.1000000000000004E-4</v>
      </c>
      <c r="GL41" s="351">
        <f t="shared" si="146"/>
        <v>0</v>
      </c>
      <c r="GM41" s="537" t="str">
        <f t="shared" si="147"/>
        <v>X</v>
      </c>
      <c r="GN41" s="251" t="str">
        <f t="shared" si="148"/>
        <v>X</v>
      </c>
      <c r="GO41" s="251" t="e">
        <f t="shared" si="226"/>
        <v>#VALUE!</v>
      </c>
      <c r="GP41" s="352">
        <f t="shared" si="227"/>
        <v>1</v>
      </c>
      <c r="GQ41" s="354" t="e">
        <f t="shared" si="228"/>
        <v>#NUM!</v>
      </c>
      <c r="GR41" s="354" t="e">
        <f t="shared" si="229"/>
        <v>#NUM!</v>
      </c>
      <c r="GS41" s="355">
        <f t="shared" si="230"/>
        <v>0</v>
      </c>
      <c r="GT41" s="251" t="e">
        <f t="shared" si="231"/>
        <v>#NUM!</v>
      </c>
      <c r="GU41" s="218">
        <f t="shared" si="232"/>
        <v>0</v>
      </c>
      <c r="GV41" s="356">
        <f t="shared" si="233"/>
        <v>0</v>
      </c>
      <c r="GW41" s="587" t="e">
        <f t="shared" si="234"/>
        <v>#NUM!</v>
      </c>
      <c r="GX41" s="362">
        <f>IF($GU41&gt;GX$35,0,$GS41)</f>
        <v>0</v>
      </c>
      <c r="GY41" s="218" t="str">
        <f t="shared" si="236"/>
        <v>x</v>
      </c>
      <c r="GZ41" s="358">
        <f t="shared" si="237"/>
        <v>0</v>
      </c>
      <c r="HA41" s="358">
        <f t="shared" si="268"/>
        <v>0</v>
      </c>
      <c r="HB41" s="359">
        <f t="shared" si="238"/>
        <v>0</v>
      </c>
      <c r="HC41" s="360">
        <f t="shared" si="269"/>
        <v>0</v>
      </c>
      <c r="HD41" s="361" t="e">
        <f t="shared" si="270"/>
        <v>#NUM!</v>
      </c>
      <c r="HE41" s="362">
        <f t="shared" si="239"/>
        <v>0</v>
      </c>
      <c r="HF41" s="218" t="str">
        <f t="shared" si="149"/>
        <v>x</v>
      </c>
      <c r="HG41" s="358">
        <f t="shared" si="240"/>
        <v>0</v>
      </c>
      <c r="HH41" s="358">
        <f t="shared" si="241"/>
        <v>0</v>
      </c>
      <c r="HI41" s="359">
        <f t="shared" si="242"/>
        <v>0</v>
      </c>
      <c r="HJ41" s="360">
        <f t="shared" si="243"/>
        <v>0</v>
      </c>
      <c r="HK41" s="361" t="e">
        <f t="shared" si="150"/>
        <v>#NUM!</v>
      </c>
      <c r="HL41" s="362">
        <f t="shared" si="244"/>
        <v>0</v>
      </c>
      <c r="HM41" s="218" t="str">
        <f t="shared" si="151"/>
        <v>x</v>
      </c>
      <c r="HN41" s="358">
        <f t="shared" si="245"/>
        <v>0</v>
      </c>
      <c r="HO41" s="358">
        <f t="shared" si="246"/>
        <v>0</v>
      </c>
      <c r="HP41" s="359">
        <f t="shared" si="247"/>
        <v>0</v>
      </c>
      <c r="HQ41" s="360">
        <f t="shared" si="248"/>
        <v>0</v>
      </c>
      <c r="HR41" s="361" t="e">
        <f t="shared" si="152"/>
        <v>#NUM!</v>
      </c>
      <c r="HS41" s="362">
        <f t="shared" si="249"/>
        <v>0</v>
      </c>
      <c r="HT41" s="218" t="str">
        <f t="shared" si="250"/>
        <v>x</v>
      </c>
      <c r="HU41" s="358">
        <f t="shared" si="251"/>
        <v>0</v>
      </c>
      <c r="HV41" s="358">
        <f t="shared" si="252"/>
        <v>0</v>
      </c>
      <c r="HW41" s="359">
        <f t="shared" si="253"/>
        <v>0</v>
      </c>
      <c r="HX41" s="360">
        <f t="shared" si="271"/>
        <v>0</v>
      </c>
      <c r="HY41" s="361" t="e">
        <f t="shared" si="254"/>
        <v>#NUM!</v>
      </c>
      <c r="HZ41" s="362">
        <f t="shared" si="255"/>
        <v>0</v>
      </c>
      <c r="IA41" s="218" t="str">
        <f t="shared" si="256"/>
        <v>x</v>
      </c>
      <c r="IB41" s="358">
        <f t="shared" si="257"/>
        <v>0</v>
      </c>
      <c r="IC41" s="358">
        <f t="shared" si="258"/>
        <v>0</v>
      </c>
      <c r="ID41" s="359">
        <f t="shared" si="259"/>
        <v>0</v>
      </c>
      <c r="IE41" s="360">
        <f t="shared" si="272"/>
        <v>0</v>
      </c>
      <c r="IF41" s="361" t="e">
        <f t="shared" si="260"/>
        <v>#NUM!</v>
      </c>
      <c r="IG41" s="320"/>
      <c r="IH41" s="575">
        <f t="shared" si="273"/>
        <v>0</v>
      </c>
      <c r="II41" s="363">
        <f t="shared" si="153"/>
        <v>0</v>
      </c>
      <c r="IJ41" s="577"/>
      <c r="IK41" s="44"/>
      <c r="IL41" s="280"/>
      <c r="IM41" s="280">
        <f t="shared" si="262"/>
        <v>7</v>
      </c>
      <c r="IN41" s="341">
        <f t="shared" si="80"/>
        <v>0</v>
      </c>
      <c r="IO41" s="196" t="str">
        <f t="shared" si="154"/>
        <v xml:space="preserve"> </v>
      </c>
      <c r="IP41" s="342" t="str">
        <f t="shared" si="155"/>
        <v xml:space="preserve"> </v>
      </c>
      <c r="IQ41" s="280">
        <f t="shared" si="156"/>
        <v>0</v>
      </c>
      <c r="IR41" s="175">
        <f t="shared" si="81"/>
        <v>0</v>
      </c>
      <c r="IS41" s="280">
        <f t="shared" si="82"/>
        <v>1</v>
      </c>
      <c r="IT41" s="280">
        <f t="shared" si="83"/>
        <v>0</v>
      </c>
      <c r="IU41" s="280">
        <f t="shared" si="84"/>
        <v>0</v>
      </c>
      <c r="IV41" s="280">
        <f t="shared" si="85"/>
        <v>0</v>
      </c>
      <c r="IW41" s="280">
        <f t="shared" si="86"/>
        <v>0</v>
      </c>
      <c r="IX41" s="280">
        <f t="shared" si="87"/>
        <v>0</v>
      </c>
      <c r="IY41" s="280">
        <f t="shared" si="88"/>
        <v>0</v>
      </c>
      <c r="IZ41" s="280">
        <f t="shared" si="89"/>
        <v>0</v>
      </c>
      <c r="JA41" s="280">
        <f t="shared" si="90"/>
        <v>0</v>
      </c>
      <c r="JB41" s="280">
        <f t="shared" si="91"/>
        <v>0</v>
      </c>
      <c r="JC41" s="280">
        <f t="shared" si="92"/>
        <v>0</v>
      </c>
      <c r="JD41" s="280">
        <f t="shared" si="93"/>
        <v>0</v>
      </c>
      <c r="JE41" s="280">
        <f t="shared" si="94"/>
        <v>0</v>
      </c>
      <c r="JF41" s="280">
        <f t="shared" si="95"/>
        <v>0</v>
      </c>
      <c r="JG41" s="280">
        <f t="shared" si="96"/>
        <v>0</v>
      </c>
      <c r="JH41" s="280">
        <f t="shared" si="97"/>
        <v>0</v>
      </c>
      <c r="JI41" s="280">
        <f t="shared" si="98"/>
        <v>0</v>
      </c>
      <c r="JJ41" s="280">
        <f t="shared" si="99"/>
        <v>0</v>
      </c>
      <c r="JK41" s="280">
        <f t="shared" si="100"/>
        <v>0</v>
      </c>
      <c r="JL41" s="280">
        <f t="shared" si="101"/>
        <v>0</v>
      </c>
      <c r="JM41" s="280">
        <f t="shared" si="102"/>
        <v>0</v>
      </c>
      <c r="JN41" s="280">
        <f t="shared" si="103"/>
        <v>0</v>
      </c>
      <c r="JO41" s="280">
        <f t="shared" si="104"/>
        <v>0</v>
      </c>
      <c r="JP41" s="280">
        <f t="shared" si="105"/>
        <v>0</v>
      </c>
      <c r="JQ41" s="280">
        <f t="shared" si="106"/>
        <v>0</v>
      </c>
      <c r="JR41" s="280">
        <f t="shared" si="107"/>
        <v>0</v>
      </c>
      <c r="JS41" s="44">
        <f t="shared" si="157"/>
        <v>1</v>
      </c>
      <c r="JT41" s="343" t="str">
        <f t="shared" si="158"/>
        <v>F</v>
      </c>
      <c r="JU41" s="44"/>
      <c r="JV41" s="280">
        <f t="shared" si="159"/>
        <v>1</v>
      </c>
      <c r="JW41" s="280">
        <f t="shared" si="108"/>
        <v>0</v>
      </c>
      <c r="JX41" s="280">
        <f t="shared" si="109"/>
        <v>0</v>
      </c>
      <c r="JY41" s="280">
        <f t="shared" si="110"/>
        <v>0</v>
      </c>
      <c r="JZ41" s="280">
        <f t="shared" si="111"/>
        <v>0</v>
      </c>
      <c r="KA41" s="280">
        <f t="shared" si="112"/>
        <v>0</v>
      </c>
      <c r="KB41" s="44">
        <f t="shared" si="160"/>
        <v>1</v>
      </c>
      <c r="KC41" s="343" t="str">
        <f t="shared" si="161"/>
        <v>F</v>
      </c>
      <c r="KD41" s="280"/>
      <c r="KE41" s="280"/>
      <c r="KF41" s="280"/>
      <c r="KG41" s="280"/>
      <c r="KH41" s="280"/>
      <c r="KI41" s="280"/>
      <c r="KJ41" s="280"/>
      <c r="KK41" s="280"/>
      <c r="KO41" s="8"/>
      <c r="KP41" s="282"/>
      <c r="KW41" s="374"/>
      <c r="KX41" s="375"/>
      <c r="KY41" s="375"/>
      <c r="KZ41" s="376"/>
      <c r="LB41" s="345">
        <v>6</v>
      </c>
      <c r="LC41" s="204" t="s">
        <v>830</v>
      </c>
      <c r="LD41" s="169" t="s">
        <v>22</v>
      </c>
      <c r="LE41" s="347" t="s">
        <v>834</v>
      </c>
      <c r="LF41" s="169"/>
      <c r="LG41" s="169"/>
      <c r="LH41" s="169"/>
      <c r="LI41" s="169"/>
      <c r="LJ41" s="169"/>
      <c r="LK41" s="169"/>
      <c r="LL41" s="169"/>
      <c r="LM41" s="169"/>
      <c r="LN41" s="348"/>
    </row>
    <row r="42" spans="19:333" ht="16.149999999999999" customHeight="1" x14ac:dyDescent="0.25">
      <c r="S42" s="653"/>
      <c r="T42" s="1531"/>
      <c r="U42" s="1504" t="str">
        <f t="shared" si="63"/>
        <v/>
      </c>
      <c r="V42" s="1505"/>
      <c r="W42" s="1506"/>
      <c r="X42" s="817"/>
      <c r="Y42" s="862"/>
      <c r="Z42" s="1114" t="str">
        <f t="shared" si="64"/>
        <v xml:space="preserve"> </v>
      </c>
      <c r="AA42" s="276"/>
      <c r="AB42" s="1504" t="str">
        <f t="shared" si="65"/>
        <v/>
      </c>
      <c r="AC42" s="1505"/>
      <c r="AD42" s="1506"/>
      <c r="AE42" s="817"/>
      <c r="AF42" s="862"/>
      <c r="AG42" s="554" t="str">
        <f t="shared" si="66"/>
        <v xml:space="preserve"> </v>
      </c>
      <c r="AH42" s="276"/>
      <c r="AI42" s="1504" t="str">
        <f t="shared" si="276"/>
        <v/>
      </c>
      <c r="AJ42" s="1505"/>
      <c r="AK42" s="1506"/>
      <c r="AL42" s="817"/>
      <c r="AM42" s="818"/>
      <c r="AN42" s="1114" t="str">
        <f t="shared" si="67"/>
        <v xml:space="preserve"> </v>
      </c>
      <c r="AO42" s="348"/>
      <c r="AP42" s="719"/>
      <c r="AQ42" s="719"/>
      <c r="AR42" s="285"/>
      <c r="AS42" s="720"/>
      <c r="AT42" s="719"/>
      <c r="AU42" s="126"/>
      <c r="AV42" s="126"/>
      <c r="AW42" s="655"/>
      <c r="AX42" s="78">
        <f t="shared" si="68"/>
        <v>0</v>
      </c>
      <c r="AY42" s="78">
        <f t="shared" si="69"/>
        <v>0</v>
      </c>
      <c r="AZ42" s="78">
        <f t="shared" si="70"/>
        <v>0</v>
      </c>
      <c r="BA42" s="78">
        <f t="shared" si="71"/>
        <v>0</v>
      </c>
      <c r="BB42" s="78">
        <f t="shared" si="72"/>
        <v>0</v>
      </c>
      <c r="BC42" s="78">
        <f t="shared" si="73"/>
        <v>0</v>
      </c>
      <c r="BD42" s="78">
        <f t="shared" si="74"/>
        <v>0</v>
      </c>
      <c r="BE42" s="78">
        <f t="shared" si="75"/>
        <v>0</v>
      </c>
      <c r="BF42" s="78">
        <f t="shared" si="76"/>
        <v>0</v>
      </c>
      <c r="BG42" s="78">
        <f t="shared" si="77"/>
        <v>0</v>
      </c>
      <c r="BH42" s="78">
        <f t="shared" si="78"/>
        <v>0</v>
      </c>
      <c r="BI42" s="78">
        <f t="shared" si="79"/>
        <v>0</v>
      </c>
      <c r="BJ42" s="78">
        <f t="shared" si="113"/>
        <v>0</v>
      </c>
      <c r="BK42" s="78">
        <f t="shared" si="114"/>
        <v>0</v>
      </c>
      <c r="BT42" s="81"/>
      <c r="BU42" s="81"/>
      <c r="BV42" s="81" t="e">
        <f>BV41+BU41</f>
        <v>#NUM!</v>
      </c>
      <c r="BW42" s="81"/>
      <c r="BX42" s="377" t="e">
        <f>ROUND(BX41,2)</f>
        <v>#NUM!</v>
      </c>
      <c r="BY42" s="81"/>
      <c r="BZ42" s="81">
        <f t="shared" si="263"/>
        <v>7</v>
      </c>
      <c r="CA42" s="368">
        <v>6.1000000000000008E-4</v>
      </c>
      <c r="CB42" s="351">
        <f t="shared" si="162"/>
        <v>0</v>
      </c>
      <c r="CC42" s="537" t="str">
        <f t="shared" si="115"/>
        <v>X</v>
      </c>
      <c r="CD42" s="251" t="str">
        <f t="shared" si="116"/>
        <v>X</v>
      </c>
      <c r="CE42" s="251" t="e">
        <f t="shared" si="163"/>
        <v>#VALUE!</v>
      </c>
      <c r="CF42" s="352">
        <f t="shared" si="164"/>
        <v>1</v>
      </c>
      <c r="CG42" s="353" t="e">
        <f t="shared" si="165"/>
        <v>#NUM!</v>
      </c>
      <c r="CH42" s="354" t="e">
        <f t="shared" si="166"/>
        <v>#NUM!</v>
      </c>
      <c r="CI42" s="355">
        <f t="shared" si="167"/>
        <v>0</v>
      </c>
      <c r="CJ42" s="251" t="e">
        <f t="shared" si="168"/>
        <v>#NUM!</v>
      </c>
      <c r="CK42" s="218">
        <f t="shared" si="169"/>
        <v>0</v>
      </c>
      <c r="CL42" s="356">
        <f t="shared" si="170"/>
        <v>0</v>
      </c>
      <c r="CM42" s="357" t="e">
        <f t="shared" si="171"/>
        <v>#NUM!</v>
      </c>
      <c r="CN42" s="218">
        <f t="shared" si="172"/>
        <v>0</v>
      </c>
      <c r="CO42" s="218" t="str">
        <f t="shared" si="173"/>
        <v>x</v>
      </c>
      <c r="CP42" s="358">
        <f t="shared" si="174"/>
        <v>0</v>
      </c>
      <c r="CQ42" s="358">
        <f t="shared" si="175"/>
        <v>0</v>
      </c>
      <c r="CR42" s="359">
        <f t="shared" si="176"/>
        <v>0</v>
      </c>
      <c r="CS42" s="360">
        <f t="shared" si="177"/>
        <v>0</v>
      </c>
      <c r="CT42" s="361" t="e">
        <f t="shared" si="264"/>
        <v>#NUM!</v>
      </c>
      <c r="CU42" s="362">
        <f t="shared" si="178"/>
        <v>0</v>
      </c>
      <c r="CV42" s="218" t="str">
        <f t="shared" si="179"/>
        <v>x</v>
      </c>
      <c r="CW42" s="358">
        <f t="shared" si="180"/>
        <v>0</v>
      </c>
      <c r="CX42" s="358">
        <f t="shared" si="181"/>
        <v>0</v>
      </c>
      <c r="CY42" s="359">
        <f t="shared" si="265"/>
        <v>0</v>
      </c>
      <c r="CZ42" s="360">
        <f t="shared" si="182"/>
        <v>0</v>
      </c>
      <c r="DA42" s="361" t="e">
        <f t="shared" si="274"/>
        <v>#NUM!</v>
      </c>
      <c r="DB42" s="362">
        <f t="shared" si="183"/>
        <v>0</v>
      </c>
      <c r="DC42" s="218" t="str">
        <f t="shared" si="184"/>
        <v>x</v>
      </c>
      <c r="DD42" s="358">
        <f t="shared" si="185"/>
        <v>0</v>
      </c>
      <c r="DE42" s="358">
        <f t="shared" si="186"/>
        <v>0</v>
      </c>
      <c r="DF42" s="359">
        <f t="shared" si="187"/>
        <v>0</v>
      </c>
      <c r="DG42" s="360">
        <f t="shared" si="188"/>
        <v>0</v>
      </c>
      <c r="DH42" s="361" t="e">
        <f t="shared" si="189"/>
        <v>#NUM!</v>
      </c>
      <c r="DI42" s="362">
        <f t="shared" si="190"/>
        <v>0</v>
      </c>
      <c r="DJ42" s="218" t="str">
        <f t="shared" si="191"/>
        <v>x</v>
      </c>
      <c r="DK42" s="358">
        <f t="shared" si="192"/>
        <v>0</v>
      </c>
      <c r="DL42" s="358">
        <f t="shared" si="193"/>
        <v>0</v>
      </c>
      <c r="DM42" s="359">
        <f t="shared" si="194"/>
        <v>0</v>
      </c>
      <c r="DN42" s="360">
        <f t="shared" si="195"/>
        <v>0</v>
      </c>
      <c r="DO42" s="361" t="e">
        <f t="shared" si="196"/>
        <v>#NUM!</v>
      </c>
      <c r="DP42" s="361"/>
      <c r="DQ42" s="361">
        <f t="shared" si="266"/>
        <v>7</v>
      </c>
      <c r="DR42" s="368">
        <v>6.1000000000000008E-4</v>
      </c>
      <c r="DS42" s="351">
        <f t="shared" si="197"/>
        <v>0</v>
      </c>
      <c r="DT42" s="537" t="str">
        <f t="shared" si="117"/>
        <v>X</v>
      </c>
      <c r="DU42" s="251" t="str">
        <f t="shared" si="118"/>
        <v>X</v>
      </c>
      <c r="DV42" s="251" t="e">
        <f t="shared" si="198"/>
        <v>#VALUE!</v>
      </c>
      <c r="DW42" s="352">
        <f t="shared" si="275"/>
        <v>1</v>
      </c>
      <c r="DX42" s="354" t="e">
        <f t="shared" si="199"/>
        <v>#NUM!</v>
      </c>
      <c r="DY42" s="354" t="e">
        <f t="shared" si="267"/>
        <v>#NUM!</v>
      </c>
      <c r="DZ42" s="355">
        <f t="shared" si="200"/>
        <v>0</v>
      </c>
      <c r="EA42" s="251" t="e">
        <f t="shared" si="201"/>
        <v>#NUM!</v>
      </c>
      <c r="EB42" s="218">
        <f t="shared" si="202"/>
        <v>0</v>
      </c>
      <c r="EC42" s="356">
        <f t="shared" si="203"/>
        <v>0</v>
      </c>
      <c r="ED42" s="587" t="e">
        <f t="shared" si="204"/>
        <v>#NUM!</v>
      </c>
      <c r="EE42" s="362">
        <f t="shared" si="119"/>
        <v>0</v>
      </c>
      <c r="EF42" s="218" t="str">
        <f t="shared" si="120"/>
        <v>x</v>
      </c>
      <c r="EG42" s="608">
        <f t="shared" si="121"/>
        <v>0</v>
      </c>
      <c r="EH42" s="608">
        <f t="shared" si="122"/>
        <v>0</v>
      </c>
      <c r="EI42" s="359">
        <f>IF(EH42=1,EE49,0)</f>
        <v>0</v>
      </c>
      <c r="EJ42" s="360">
        <f t="shared" si="123"/>
        <v>0</v>
      </c>
      <c r="EK42" s="361" t="e">
        <f t="shared" si="124"/>
        <v>#NUM!</v>
      </c>
      <c r="EL42" s="362">
        <f t="shared" si="125"/>
        <v>0</v>
      </c>
      <c r="EM42" s="218" t="str">
        <f t="shared" si="126"/>
        <v>x</v>
      </c>
      <c r="EN42" s="358">
        <f t="shared" si="205"/>
        <v>0</v>
      </c>
      <c r="EO42" s="358">
        <f t="shared" si="206"/>
        <v>0</v>
      </c>
      <c r="EP42" s="359">
        <f>IF(EO42=1,EL49,0)</f>
        <v>0</v>
      </c>
      <c r="EQ42" s="360">
        <f t="shared" si="207"/>
        <v>0</v>
      </c>
      <c r="ER42" s="361" t="e">
        <f t="shared" si="127"/>
        <v>#NUM!</v>
      </c>
      <c r="ES42" s="362">
        <f t="shared" si="128"/>
        <v>0</v>
      </c>
      <c r="ET42" s="218" t="str">
        <f t="shared" si="129"/>
        <v>x</v>
      </c>
      <c r="EU42" s="358">
        <f t="shared" si="208"/>
        <v>0</v>
      </c>
      <c r="EV42" s="358">
        <f t="shared" si="209"/>
        <v>0</v>
      </c>
      <c r="EW42" s="359">
        <f>IF(EV42=1,ES49,0)</f>
        <v>0</v>
      </c>
      <c r="EX42" s="360">
        <f t="shared" si="210"/>
        <v>0</v>
      </c>
      <c r="EY42" s="361" t="e">
        <f t="shared" si="130"/>
        <v>#NUM!</v>
      </c>
      <c r="EZ42" s="362">
        <f t="shared" si="131"/>
        <v>0</v>
      </c>
      <c r="FA42" s="218" t="str">
        <f t="shared" si="132"/>
        <v>x</v>
      </c>
      <c r="FB42" s="358">
        <f t="shared" si="211"/>
        <v>0</v>
      </c>
      <c r="FC42" s="358">
        <f t="shared" si="212"/>
        <v>0</v>
      </c>
      <c r="FD42" s="359">
        <f>IF(FC42=1,EZ49,0)</f>
        <v>0</v>
      </c>
      <c r="FE42" s="360">
        <f t="shared" si="213"/>
        <v>0</v>
      </c>
      <c r="FF42" s="361" t="e">
        <f t="shared" si="133"/>
        <v>#NUM!</v>
      </c>
      <c r="FG42" s="362">
        <f t="shared" si="134"/>
        <v>0</v>
      </c>
      <c r="FH42" s="218" t="str">
        <f t="shared" si="135"/>
        <v>x</v>
      </c>
      <c r="FI42" s="358">
        <f t="shared" si="214"/>
        <v>0</v>
      </c>
      <c r="FJ42" s="358">
        <f t="shared" si="215"/>
        <v>0</v>
      </c>
      <c r="FK42" s="359">
        <f>IF(FJ42=1,FG49,0)</f>
        <v>0</v>
      </c>
      <c r="FL42" s="360">
        <f t="shared" si="216"/>
        <v>0</v>
      </c>
      <c r="FM42" s="361" t="e">
        <f t="shared" si="136"/>
        <v>#NUM!</v>
      </c>
      <c r="FN42" s="362">
        <f t="shared" si="137"/>
        <v>0</v>
      </c>
      <c r="FO42" s="218" t="str">
        <f t="shared" si="138"/>
        <v>x</v>
      </c>
      <c r="FP42" s="358">
        <f t="shared" si="217"/>
        <v>0</v>
      </c>
      <c r="FQ42" s="358">
        <f t="shared" si="218"/>
        <v>0</v>
      </c>
      <c r="FR42" s="359">
        <f>IF(FQ42=1,FN49,0)</f>
        <v>0</v>
      </c>
      <c r="FS42" s="360">
        <f t="shared" si="219"/>
        <v>0</v>
      </c>
      <c r="FT42" s="361" t="e">
        <f t="shared" si="139"/>
        <v>#NUM!</v>
      </c>
      <c r="FU42" s="362">
        <f t="shared" si="140"/>
        <v>0</v>
      </c>
      <c r="FV42" s="218" t="str">
        <f t="shared" si="141"/>
        <v>x</v>
      </c>
      <c r="FW42" s="358">
        <f t="shared" si="220"/>
        <v>0</v>
      </c>
      <c r="FX42" s="358">
        <f t="shared" si="221"/>
        <v>0</v>
      </c>
      <c r="FY42" s="359">
        <f>IF(FX42=1,FU49,0)</f>
        <v>0</v>
      </c>
      <c r="FZ42" s="360">
        <f t="shared" si="222"/>
        <v>0</v>
      </c>
      <c r="GA42" s="361" t="e">
        <f t="shared" si="142"/>
        <v>#NUM!</v>
      </c>
      <c r="GB42" s="362">
        <f t="shared" si="143"/>
        <v>0</v>
      </c>
      <c r="GC42" s="218" t="str">
        <f t="shared" si="144"/>
        <v>x</v>
      </c>
      <c r="GD42" s="358">
        <f t="shared" si="223"/>
        <v>0</v>
      </c>
      <c r="GE42" s="358">
        <f t="shared" si="224"/>
        <v>0</v>
      </c>
      <c r="GF42" s="359">
        <f>IF(GE42=1,GB49,0)</f>
        <v>0</v>
      </c>
      <c r="GG42" s="360">
        <f t="shared" si="225"/>
        <v>0</v>
      </c>
      <c r="GH42" s="361" t="e">
        <f t="shared" si="145"/>
        <v>#NUM!</v>
      </c>
      <c r="GI42" s="361"/>
      <c r="GJ42" s="361"/>
      <c r="GK42" s="368">
        <v>6.1000000000000008E-4</v>
      </c>
      <c r="GL42" s="351">
        <f t="shared" si="146"/>
        <v>0</v>
      </c>
      <c r="GM42" s="537" t="str">
        <f t="shared" si="147"/>
        <v>X</v>
      </c>
      <c r="GN42" s="251" t="str">
        <f t="shared" si="148"/>
        <v>X</v>
      </c>
      <c r="GO42" s="251" t="e">
        <f t="shared" si="226"/>
        <v>#VALUE!</v>
      </c>
      <c r="GP42" s="352">
        <f t="shared" si="227"/>
        <v>1</v>
      </c>
      <c r="GQ42" s="354" t="e">
        <f t="shared" si="228"/>
        <v>#NUM!</v>
      </c>
      <c r="GR42" s="354" t="e">
        <f t="shared" si="229"/>
        <v>#NUM!</v>
      </c>
      <c r="GS42" s="355">
        <f t="shared" si="230"/>
        <v>0</v>
      </c>
      <c r="GT42" s="251" t="e">
        <f t="shared" si="231"/>
        <v>#NUM!</v>
      </c>
      <c r="GU42" s="218">
        <f t="shared" si="232"/>
        <v>0</v>
      </c>
      <c r="GV42" s="356">
        <f t="shared" si="233"/>
        <v>0</v>
      </c>
      <c r="GW42" s="587" t="e">
        <f t="shared" si="234"/>
        <v>#NUM!</v>
      </c>
      <c r="GX42" s="362">
        <f>IF($GU42&gt;GX$35,0,$GS42)</f>
        <v>0</v>
      </c>
      <c r="GY42" s="218" t="str">
        <f t="shared" si="236"/>
        <v>x</v>
      </c>
      <c r="GZ42" s="358">
        <f>IF(GY42=0,1,0)</f>
        <v>0</v>
      </c>
      <c r="HA42" s="358">
        <f>GZ42+HA43</f>
        <v>0</v>
      </c>
      <c r="HB42" s="359">
        <f t="shared" si="238"/>
        <v>0</v>
      </c>
      <c r="HC42" s="360">
        <f>HB42+GX42</f>
        <v>0</v>
      </c>
      <c r="HD42" s="361" t="e">
        <f>HC42*GW42</f>
        <v>#NUM!</v>
      </c>
      <c r="HE42" s="362">
        <f t="shared" si="239"/>
        <v>0</v>
      </c>
      <c r="HF42" s="218" t="str">
        <f t="shared" si="149"/>
        <v>x</v>
      </c>
      <c r="HG42" s="358">
        <f t="shared" si="240"/>
        <v>0</v>
      </c>
      <c r="HH42" s="358">
        <f t="shared" si="241"/>
        <v>0</v>
      </c>
      <c r="HI42" s="359">
        <f t="shared" si="242"/>
        <v>0</v>
      </c>
      <c r="HJ42" s="360">
        <f t="shared" si="243"/>
        <v>0</v>
      </c>
      <c r="HK42" s="361" t="e">
        <f t="shared" si="150"/>
        <v>#NUM!</v>
      </c>
      <c r="HL42" s="362">
        <f t="shared" si="244"/>
        <v>0</v>
      </c>
      <c r="HM42" s="218" t="str">
        <f t="shared" si="151"/>
        <v>x</v>
      </c>
      <c r="HN42" s="358">
        <f t="shared" si="245"/>
        <v>0</v>
      </c>
      <c r="HO42" s="358">
        <f t="shared" si="246"/>
        <v>0</v>
      </c>
      <c r="HP42" s="359">
        <f t="shared" si="247"/>
        <v>0</v>
      </c>
      <c r="HQ42" s="360">
        <f t="shared" si="248"/>
        <v>0</v>
      </c>
      <c r="HR42" s="361" t="e">
        <f t="shared" si="152"/>
        <v>#NUM!</v>
      </c>
      <c r="HS42" s="362">
        <f t="shared" si="249"/>
        <v>0</v>
      </c>
      <c r="HT42" s="218" t="str">
        <f t="shared" si="250"/>
        <v>x</v>
      </c>
      <c r="HU42" s="358">
        <f t="shared" si="251"/>
        <v>0</v>
      </c>
      <c r="HV42" s="358">
        <f t="shared" si="252"/>
        <v>0</v>
      </c>
      <c r="HW42" s="359">
        <f t="shared" si="253"/>
        <v>0</v>
      </c>
      <c r="HX42" s="360">
        <f t="shared" si="271"/>
        <v>0</v>
      </c>
      <c r="HY42" s="361" t="e">
        <f t="shared" si="254"/>
        <v>#NUM!</v>
      </c>
      <c r="HZ42" s="362">
        <f t="shared" si="255"/>
        <v>0</v>
      </c>
      <c r="IA42" s="218" t="str">
        <f t="shared" si="256"/>
        <v>x</v>
      </c>
      <c r="IB42" s="358">
        <f t="shared" si="257"/>
        <v>0</v>
      </c>
      <c r="IC42" s="358">
        <f t="shared" si="258"/>
        <v>0</v>
      </c>
      <c r="ID42" s="359">
        <f t="shared" si="259"/>
        <v>0</v>
      </c>
      <c r="IE42" s="360">
        <f t="shared" si="272"/>
        <v>0</v>
      </c>
      <c r="IF42" s="361" t="e">
        <f t="shared" si="260"/>
        <v>#NUM!</v>
      </c>
      <c r="IG42" s="320"/>
      <c r="IH42" s="575">
        <f t="shared" si="273"/>
        <v>0</v>
      </c>
      <c r="II42" s="363">
        <f t="shared" si="153"/>
        <v>0</v>
      </c>
      <c r="IJ42" s="577"/>
      <c r="IK42" s="44"/>
      <c r="IL42" s="280"/>
      <c r="IM42" s="280">
        <f t="shared" si="262"/>
        <v>8</v>
      </c>
      <c r="IN42" s="341">
        <f t="shared" si="80"/>
        <v>0</v>
      </c>
      <c r="IO42" s="196" t="str">
        <f t="shared" si="154"/>
        <v xml:space="preserve"> </v>
      </c>
      <c r="IP42" s="342" t="str">
        <f t="shared" si="155"/>
        <v xml:space="preserve"> </v>
      </c>
      <c r="IQ42" s="280">
        <f t="shared" si="156"/>
        <v>0</v>
      </c>
      <c r="IR42" s="175">
        <f t="shared" si="81"/>
        <v>0</v>
      </c>
      <c r="IS42" s="280">
        <f t="shared" si="82"/>
        <v>1</v>
      </c>
      <c r="IT42" s="280">
        <f t="shared" si="83"/>
        <v>0</v>
      </c>
      <c r="IU42" s="280">
        <f t="shared" si="84"/>
        <v>0</v>
      </c>
      <c r="IV42" s="280">
        <f t="shared" si="85"/>
        <v>0</v>
      </c>
      <c r="IW42" s="280">
        <f t="shared" si="86"/>
        <v>0</v>
      </c>
      <c r="IX42" s="280">
        <f t="shared" si="87"/>
        <v>0</v>
      </c>
      <c r="IY42" s="280">
        <f t="shared" si="88"/>
        <v>0</v>
      </c>
      <c r="IZ42" s="280">
        <f t="shared" si="89"/>
        <v>0</v>
      </c>
      <c r="JA42" s="280">
        <f t="shared" si="90"/>
        <v>0</v>
      </c>
      <c r="JB42" s="280">
        <f t="shared" si="91"/>
        <v>0</v>
      </c>
      <c r="JC42" s="280">
        <f t="shared" si="92"/>
        <v>0</v>
      </c>
      <c r="JD42" s="280">
        <f t="shared" si="93"/>
        <v>0</v>
      </c>
      <c r="JE42" s="280">
        <f t="shared" si="94"/>
        <v>0</v>
      </c>
      <c r="JF42" s="280">
        <f t="shared" si="95"/>
        <v>0</v>
      </c>
      <c r="JG42" s="280">
        <f t="shared" si="96"/>
        <v>0</v>
      </c>
      <c r="JH42" s="280">
        <f t="shared" si="97"/>
        <v>0</v>
      </c>
      <c r="JI42" s="280">
        <f t="shared" si="98"/>
        <v>0</v>
      </c>
      <c r="JJ42" s="280">
        <f t="shared" si="99"/>
        <v>0</v>
      </c>
      <c r="JK42" s="280">
        <f t="shared" si="100"/>
        <v>0</v>
      </c>
      <c r="JL42" s="280">
        <f t="shared" si="101"/>
        <v>0</v>
      </c>
      <c r="JM42" s="280">
        <f t="shared" si="102"/>
        <v>0</v>
      </c>
      <c r="JN42" s="280">
        <f t="shared" si="103"/>
        <v>0</v>
      </c>
      <c r="JO42" s="280">
        <f t="shared" si="104"/>
        <v>0</v>
      </c>
      <c r="JP42" s="280">
        <f t="shared" si="105"/>
        <v>0</v>
      </c>
      <c r="JQ42" s="280">
        <f t="shared" si="106"/>
        <v>0</v>
      </c>
      <c r="JR42" s="280">
        <f t="shared" si="107"/>
        <v>0</v>
      </c>
      <c r="JS42" s="44">
        <f t="shared" si="157"/>
        <v>1</v>
      </c>
      <c r="JT42" s="343" t="str">
        <f t="shared" si="158"/>
        <v>F</v>
      </c>
      <c r="JU42" s="343"/>
      <c r="JV42" s="280">
        <f t="shared" si="159"/>
        <v>1</v>
      </c>
      <c r="JW42" s="280">
        <f t="shared" si="108"/>
        <v>0</v>
      </c>
      <c r="JX42" s="280">
        <f t="shared" si="109"/>
        <v>0</v>
      </c>
      <c r="JY42" s="280">
        <f t="shared" si="110"/>
        <v>0</v>
      </c>
      <c r="JZ42" s="280">
        <f t="shared" si="111"/>
        <v>0</v>
      </c>
      <c r="KA42" s="280">
        <f t="shared" si="112"/>
        <v>0</v>
      </c>
      <c r="KB42" s="44">
        <f t="shared" si="160"/>
        <v>1</v>
      </c>
      <c r="KC42" s="343" t="str">
        <f t="shared" si="161"/>
        <v>F</v>
      </c>
      <c r="KD42" s="343"/>
      <c r="KE42" s="280"/>
      <c r="KF42" s="280"/>
      <c r="KG42" s="280"/>
      <c r="KH42" s="280"/>
      <c r="KI42" s="280"/>
      <c r="KJ42" s="280"/>
      <c r="KK42" s="280"/>
      <c r="KL42" s="280"/>
      <c r="KP42" s="8"/>
      <c r="KQ42" s="282"/>
      <c r="KW42" s="81"/>
      <c r="KX42" s="344"/>
      <c r="KY42" s="81"/>
      <c r="KZ42" s="378"/>
      <c r="LA42" s="379">
        <v>70</v>
      </c>
      <c r="LC42" s="345">
        <v>7</v>
      </c>
      <c r="LD42" s="204" t="s">
        <v>830</v>
      </c>
      <c r="LE42" s="169" t="s">
        <v>23</v>
      </c>
      <c r="LF42" s="347" t="s">
        <v>835</v>
      </c>
      <c r="LG42" s="169"/>
      <c r="LH42" s="169"/>
      <c r="LI42" s="169"/>
      <c r="LJ42" s="169"/>
      <c r="LK42" s="169"/>
      <c r="LL42" s="169"/>
      <c r="LM42" s="169"/>
      <c r="LN42" s="169"/>
      <c r="LO42" s="348"/>
    </row>
    <row r="43" spans="19:333" ht="16.149999999999999" customHeight="1" x14ac:dyDescent="0.25">
      <c r="S43" s="653"/>
      <c r="T43" s="1531"/>
      <c r="U43" s="1504" t="str">
        <f t="shared" si="63"/>
        <v/>
      </c>
      <c r="V43" s="1505"/>
      <c r="W43" s="1506"/>
      <c r="X43" s="817"/>
      <c r="Y43" s="862"/>
      <c r="Z43" s="1114" t="str">
        <f t="shared" si="64"/>
        <v xml:space="preserve"> </v>
      </c>
      <c r="AA43" s="276"/>
      <c r="AB43" s="1504" t="str">
        <f t="shared" si="65"/>
        <v/>
      </c>
      <c r="AC43" s="1505"/>
      <c r="AD43" s="1506"/>
      <c r="AE43" s="817"/>
      <c r="AF43" s="862"/>
      <c r="AG43" s="554" t="str">
        <f t="shared" si="66"/>
        <v xml:space="preserve"> </v>
      </c>
      <c r="AH43" s="276"/>
      <c r="AI43" s="1504" t="str">
        <f t="shared" si="276"/>
        <v/>
      </c>
      <c r="AJ43" s="1505"/>
      <c r="AK43" s="1506"/>
      <c r="AL43" s="817"/>
      <c r="AM43" s="818"/>
      <c r="AN43" s="1114" t="str">
        <f t="shared" si="67"/>
        <v xml:space="preserve"> </v>
      </c>
      <c r="AO43" s="348"/>
      <c r="AP43" s="719"/>
      <c r="AQ43" s="719"/>
      <c r="AR43" s="285"/>
      <c r="AS43" s="720"/>
      <c r="AT43" s="719"/>
      <c r="AU43" s="126"/>
      <c r="AV43" s="126"/>
      <c r="AW43" s="655"/>
      <c r="AX43" s="78">
        <f t="shared" si="68"/>
        <v>0</v>
      </c>
      <c r="AY43" s="78">
        <f t="shared" si="69"/>
        <v>0</v>
      </c>
      <c r="AZ43" s="78">
        <f t="shared" si="70"/>
        <v>0</v>
      </c>
      <c r="BA43" s="78">
        <f t="shared" si="71"/>
        <v>0</v>
      </c>
      <c r="BB43" s="78">
        <f t="shared" si="72"/>
        <v>0</v>
      </c>
      <c r="BC43" s="78">
        <f t="shared" si="73"/>
        <v>0</v>
      </c>
      <c r="BD43" s="78">
        <f t="shared" si="74"/>
        <v>0</v>
      </c>
      <c r="BE43" s="78">
        <f t="shared" si="75"/>
        <v>0</v>
      </c>
      <c r="BF43" s="78">
        <f t="shared" si="76"/>
        <v>0</v>
      </c>
      <c r="BG43" s="78">
        <f t="shared" si="77"/>
        <v>0</v>
      </c>
      <c r="BH43" s="78">
        <f t="shared" si="78"/>
        <v>0</v>
      </c>
      <c r="BI43" s="78">
        <f t="shared" si="79"/>
        <v>0</v>
      </c>
      <c r="BJ43" s="78">
        <f t="shared" si="113"/>
        <v>0</v>
      </c>
      <c r="BK43" s="78">
        <f t="shared" si="114"/>
        <v>0</v>
      </c>
      <c r="BV43" s="81"/>
      <c r="BW43" s="344"/>
      <c r="BX43" s="367" t="e">
        <f>BX42</f>
        <v>#NUM!</v>
      </c>
      <c r="BY43" s="81"/>
      <c r="BZ43" s="81">
        <f t="shared" si="263"/>
        <v>8</v>
      </c>
      <c r="CA43" s="368">
        <v>7.1000000000000013E-4</v>
      </c>
      <c r="CB43" s="351">
        <f t="shared" si="162"/>
        <v>0</v>
      </c>
      <c r="CC43" s="537" t="str">
        <f t="shared" si="115"/>
        <v>X</v>
      </c>
      <c r="CD43" s="251" t="str">
        <f t="shared" si="116"/>
        <v>X</v>
      </c>
      <c r="CE43" s="251" t="e">
        <f t="shared" si="163"/>
        <v>#VALUE!</v>
      </c>
      <c r="CF43" s="352">
        <f t="shared" si="164"/>
        <v>1</v>
      </c>
      <c r="CG43" s="353" t="e">
        <f t="shared" si="165"/>
        <v>#NUM!</v>
      </c>
      <c r="CH43" s="354" t="e">
        <f t="shared" si="166"/>
        <v>#NUM!</v>
      </c>
      <c r="CI43" s="355">
        <f t="shared" si="167"/>
        <v>0</v>
      </c>
      <c r="CJ43" s="251" t="e">
        <f t="shared" si="168"/>
        <v>#NUM!</v>
      </c>
      <c r="CK43" s="218">
        <f t="shared" si="169"/>
        <v>0</v>
      </c>
      <c r="CL43" s="356">
        <f t="shared" si="170"/>
        <v>0</v>
      </c>
      <c r="CM43" s="357" t="e">
        <f t="shared" si="171"/>
        <v>#NUM!</v>
      </c>
      <c r="CN43" s="218">
        <f t="shared" si="172"/>
        <v>0</v>
      </c>
      <c r="CO43" s="218" t="str">
        <f t="shared" si="173"/>
        <v>x</v>
      </c>
      <c r="CP43" s="358">
        <f t="shared" si="174"/>
        <v>0</v>
      </c>
      <c r="CQ43" s="358">
        <f t="shared" si="175"/>
        <v>0</v>
      </c>
      <c r="CR43" s="359">
        <f t="shared" si="176"/>
        <v>0</v>
      </c>
      <c r="CS43" s="360">
        <f t="shared" si="177"/>
        <v>0</v>
      </c>
      <c r="CT43" s="361" t="e">
        <f t="shared" si="264"/>
        <v>#NUM!</v>
      </c>
      <c r="CU43" s="362">
        <f t="shared" si="178"/>
        <v>0</v>
      </c>
      <c r="CV43" s="218" t="str">
        <f t="shared" si="179"/>
        <v>x</v>
      </c>
      <c r="CW43" s="358">
        <f t="shared" si="180"/>
        <v>0</v>
      </c>
      <c r="CX43" s="358">
        <f t="shared" si="181"/>
        <v>0</v>
      </c>
      <c r="CY43" s="359">
        <f t="shared" si="265"/>
        <v>0</v>
      </c>
      <c r="CZ43" s="360">
        <f t="shared" si="182"/>
        <v>0</v>
      </c>
      <c r="DA43" s="361" t="e">
        <f t="shared" si="274"/>
        <v>#NUM!</v>
      </c>
      <c r="DB43" s="362">
        <f t="shared" si="183"/>
        <v>0</v>
      </c>
      <c r="DC43" s="218" t="str">
        <f t="shared" si="184"/>
        <v>x</v>
      </c>
      <c r="DD43" s="358">
        <f t="shared" si="185"/>
        <v>0</v>
      </c>
      <c r="DE43" s="358">
        <f t="shared" si="186"/>
        <v>0</v>
      </c>
      <c r="DF43" s="359">
        <f t="shared" si="187"/>
        <v>0</v>
      </c>
      <c r="DG43" s="360">
        <f t="shared" si="188"/>
        <v>0</v>
      </c>
      <c r="DH43" s="361" t="e">
        <f t="shared" si="189"/>
        <v>#NUM!</v>
      </c>
      <c r="DI43" s="362">
        <f t="shared" si="190"/>
        <v>0</v>
      </c>
      <c r="DJ43" s="218" t="str">
        <f t="shared" si="191"/>
        <v>x</v>
      </c>
      <c r="DK43" s="358">
        <f t="shared" si="192"/>
        <v>0</v>
      </c>
      <c r="DL43" s="358">
        <f t="shared" si="193"/>
        <v>0</v>
      </c>
      <c r="DM43" s="359">
        <f t="shared" si="194"/>
        <v>0</v>
      </c>
      <c r="DN43" s="360">
        <f t="shared" si="195"/>
        <v>0</v>
      </c>
      <c r="DO43" s="361" t="e">
        <f t="shared" si="196"/>
        <v>#NUM!</v>
      </c>
      <c r="DP43" s="361"/>
      <c r="DQ43" s="361">
        <f t="shared" si="266"/>
        <v>8</v>
      </c>
      <c r="DR43" s="368">
        <v>7.1000000000000013E-4</v>
      </c>
      <c r="DS43" s="351">
        <f t="shared" si="197"/>
        <v>0</v>
      </c>
      <c r="DT43" s="537" t="str">
        <f t="shared" si="117"/>
        <v>X</v>
      </c>
      <c r="DU43" s="251" t="str">
        <f t="shared" si="118"/>
        <v>X</v>
      </c>
      <c r="DV43" s="251" t="e">
        <f t="shared" si="198"/>
        <v>#VALUE!</v>
      </c>
      <c r="DW43" s="352">
        <f t="shared" si="275"/>
        <v>1</v>
      </c>
      <c r="DX43" s="354" t="e">
        <f t="shared" si="199"/>
        <v>#NUM!</v>
      </c>
      <c r="DY43" s="354" t="e">
        <f t="shared" si="267"/>
        <v>#NUM!</v>
      </c>
      <c r="DZ43" s="355">
        <f t="shared" si="200"/>
        <v>0</v>
      </c>
      <c r="EA43" s="251" t="e">
        <f t="shared" si="201"/>
        <v>#NUM!</v>
      </c>
      <c r="EB43" s="218">
        <f t="shared" si="202"/>
        <v>0</v>
      </c>
      <c r="EC43" s="356">
        <f t="shared" si="203"/>
        <v>0</v>
      </c>
      <c r="ED43" s="587" t="e">
        <f t="shared" si="204"/>
        <v>#NUM!</v>
      </c>
      <c r="EE43" s="362">
        <f t="shared" si="119"/>
        <v>0</v>
      </c>
      <c r="EF43" s="218" t="str">
        <f t="shared" si="120"/>
        <v>x</v>
      </c>
      <c r="EG43" s="608">
        <f t="shared" si="121"/>
        <v>0</v>
      </c>
      <c r="EH43" s="608">
        <f t="shared" si="122"/>
        <v>0</v>
      </c>
      <c r="EI43" s="359">
        <f>IF(EH43=1,EE49,0)</f>
        <v>0</v>
      </c>
      <c r="EJ43" s="360">
        <f t="shared" si="123"/>
        <v>0</v>
      </c>
      <c r="EK43" s="361" t="e">
        <f t="shared" si="124"/>
        <v>#NUM!</v>
      </c>
      <c r="EL43" s="362">
        <f t="shared" si="125"/>
        <v>0</v>
      </c>
      <c r="EM43" s="218" t="str">
        <f t="shared" si="126"/>
        <v>x</v>
      </c>
      <c r="EN43" s="358">
        <f t="shared" si="205"/>
        <v>0</v>
      </c>
      <c r="EO43" s="358">
        <f t="shared" si="206"/>
        <v>0</v>
      </c>
      <c r="EP43" s="359">
        <f>IF(EO43=1,EL49,0)</f>
        <v>0</v>
      </c>
      <c r="EQ43" s="360">
        <f t="shared" si="207"/>
        <v>0</v>
      </c>
      <c r="ER43" s="361" t="e">
        <f t="shared" si="127"/>
        <v>#NUM!</v>
      </c>
      <c r="ES43" s="362">
        <f t="shared" si="128"/>
        <v>0</v>
      </c>
      <c r="ET43" s="218" t="str">
        <f t="shared" si="129"/>
        <v>x</v>
      </c>
      <c r="EU43" s="358">
        <f t="shared" si="208"/>
        <v>0</v>
      </c>
      <c r="EV43" s="358">
        <f t="shared" si="209"/>
        <v>0</v>
      </c>
      <c r="EW43" s="359">
        <f>IF(EV43=1,ES49,0)</f>
        <v>0</v>
      </c>
      <c r="EX43" s="360">
        <f t="shared" si="210"/>
        <v>0</v>
      </c>
      <c r="EY43" s="361" t="e">
        <f t="shared" si="130"/>
        <v>#NUM!</v>
      </c>
      <c r="EZ43" s="362">
        <f t="shared" si="131"/>
        <v>0</v>
      </c>
      <c r="FA43" s="218" t="str">
        <f t="shared" si="132"/>
        <v>x</v>
      </c>
      <c r="FB43" s="358">
        <f t="shared" si="211"/>
        <v>0</v>
      </c>
      <c r="FC43" s="358">
        <f t="shared" si="212"/>
        <v>0</v>
      </c>
      <c r="FD43" s="359">
        <f>IF(FC43=1,EZ49,0)</f>
        <v>0</v>
      </c>
      <c r="FE43" s="360">
        <f t="shared" si="213"/>
        <v>0</v>
      </c>
      <c r="FF43" s="361" t="e">
        <f t="shared" si="133"/>
        <v>#NUM!</v>
      </c>
      <c r="FG43" s="362">
        <f t="shared" si="134"/>
        <v>0</v>
      </c>
      <c r="FH43" s="218" t="str">
        <f t="shared" si="135"/>
        <v>x</v>
      </c>
      <c r="FI43" s="358">
        <f t="shared" si="214"/>
        <v>0</v>
      </c>
      <c r="FJ43" s="358">
        <f t="shared" si="215"/>
        <v>0</v>
      </c>
      <c r="FK43" s="359">
        <f>IF(FJ43=1,FG49,0)</f>
        <v>0</v>
      </c>
      <c r="FL43" s="360">
        <f t="shared" si="216"/>
        <v>0</v>
      </c>
      <c r="FM43" s="361" t="e">
        <f t="shared" si="136"/>
        <v>#NUM!</v>
      </c>
      <c r="FN43" s="362">
        <f t="shared" si="137"/>
        <v>0</v>
      </c>
      <c r="FO43" s="218" t="str">
        <f t="shared" si="138"/>
        <v>x</v>
      </c>
      <c r="FP43" s="358">
        <f t="shared" si="217"/>
        <v>0</v>
      </c>
      <c r="FQ43" s="358">
        <f t="shared" si="218"/>
        <v>0</v>
      </c>
      <c r="FR43" s="359">
        <f>IF(FQ43=1,FN49,0)</f>
        <v>0</v>
      </c>
      <c r="FS43" s="360">
        <f t="shared" si="219"/>
        <v>0</v>
      </c>
      <c r="FT43" s="361" t="e">
        <f t="shared" si="139"/>
        <v>#NUM!</v>
      </c>
      <c r="FU43" s="362">
        <f t="shared" si="140"/>
        <v>0</v>
      </c>
      <c r="FV43" s="218" t="str">
        <f t="shared" si="141"/>
        <v>x</v>
      </c>
      <c r="FW43" s="358">
        <f t="shared" si="220"/>
        <v>0</v>
      </c>
      <c r="FX43" s="358">
        <f t="shared" si="221"/>
        <v>0</v>
      </c>
      <c r="FY43" s="359">
        <f>IF(FX43=1,FU49,0)</f>
        <v>0</v>
      </c>
      <c r="FZ43" s="360">
        <f t="shared" si="222"/>
        <v>0</v>
      </c>
      <c r="GA43" s="361" t="e">
        <f t="shared" si="142"/>
        <v>#NUM!</v>
      </c>
      <c r="GB43" s="362">
        <f t="shared" si="143"/>
        <v>0</v>
      </c>
      <c r="GC43" s="218" t="str">
        <f t="shared" si="144"/>
        <v>x</v>
      </c>
      <c r="GD43" s="358">
        <f t="shared" si="223"/>
        <v>0</v>
      </c>
      <c r="GE43" s="358">
        <f t="shared" si="224"/>
        <v>0</v>
      </c>
      <c r="GF43" s="359">
        <f>IF(GE43=1,GB49,0)</f>
        <v>0</v>
      </c>
      <c r="GG43" s="360">
        <f t="shared" si="225"/>
        <v>0</v>
      </c>
      <c r="GH43" s="361" t="e">
        <f t="shared" si="145"/>
        <v>#NUM!</v>
      </c>
      <c r="GI43" s="361"/>
      <c r="GJ43" s="361"/>
      <c r="GK43" s="368">
        <v>7.1000000000000013E-4</v>
      </c>
      <c r="GL43" s="351">
        <f t="shared" si="146"/>
        <v>0</v>
      </c>
      <c r="GM43" s="537" t="str">
        <f t="shared" si="147"/>
        <v>X</v>
      </c>
      <c r="GN43" s="251" t="str">
        <f t="shared" si="148"/>
        <v>X</v>
      </c>
      <c r="GO43" s="251" t="e">
        <f t="shared" si="226"/>
        <v>#VALUE!</v>
      </c>
      <c r="GP43" s="352">
        <f t="shared" si="227"/>
        <v>1</v>
      </c>
      <c r="GQ43" s="354" t="e">
        <f t="shared" si="228"/>
        <v>#NUM!</v>
      </c>
      <c r="GR43" s="354" t="e">
        <f t="shared" si="229"/>
        <v>#NUM!</v>
      </c>
      <c r="GS43" s="355">
        <f t="shared" si="230"/>
        <v>0</v>
      </c>
      <c r="GT43" s="251" t="e">
        <f t="shared" si="231"/>
        <v>#NUM!</v>
      </c>
      <c r="GU43" s="218">
        <f t="shared" si="232"/>
        <v>0</v>
      </c>
      <c r="GV43" s="356">
        <f t="shared" si="233"/>
        <v>0</v>
      </c>
      <c r="GW43" s="587" t="e">
        <f t="shared" si="234"/>
        <v>#NUM!</v>
      </c>
      <c r="GX43" s="362">
        <f t="shared" si="235"/>
        <v>0</v>
      </c>
      <c r="GY43" s="218" t="str">
        <f t="shared" si="236"/>
        <v>x</v>
      </c>
      <c r="GZ43" s="358">
        <f t="shared" si="237"/>
        <v>0</v>
      </c>
      <c r="HA43" s="358">
        <f t="shared" si="268"/>
        <v>0</v>
      </c>
      <c r="HB43" s="359">
        <f t="shared" si="238"/>
        <v>0</v>
      </c>
      <c r="HC43" s="360">
        <f t="shared" si="269"/>
        <v>0</v>
      </c>
      <c r="HD43" s="361" t="e">
        <f t="shared" si="270"/>
        <v>#NUM!</v>
      </c>
      <c r="HE43" s="362">
        <f t="shared" si="239"/>
        <v>0</v>
      </c>
      <c r="HF43" s="218" t="str">
        <f t="shared" si="149"/>
        <v>x</v>
      </c>
      <c r="HG43" s="358">
        <f t="shared" si="240"/>
        <v>0</v>
      </c>
      <c r="HH43" s="358">
        <f t="shared" si="241"/>
        <v>0</v>
      </c>
      <c r="HI43" s="359">
        <f t="shared" si="242"/>
        <v>0</v>
      </c>
      <c r="HJ43" s="360">
        <f t="shared" si="243"/>
        <v>0</v>
      </c>
      <c r="HK43" s="361" t="e">
        <f t="shared" si="150"/>
        <v>#NUM!</v>
      </c>
      <c r="HL43" s="362">
        <f t="shared" si="244"/>
        <v>0</v>
      </c>
      <c r="HM43" s="218" t="str">
        <f t="shared" si="151"/>
        <v>x</v>
      </c>
      <c r="HN43" s="358">
        <f t="shared" si="245"/>
        <v>0</v>
      </c>
      <c r="HO43" s="358">
        <f t="shared" si="246"/>
        <v>0</v>
      </c>
      <c r="HP43" s="359">
        <f t="shared" si="247"/>
        <v>0</v>
      </c>
      <c r="HQ43" s="360">
        <f t="shared" si="248"/>
        <v>0</v>
      </c>
      <c r="HR43" s="361" t="e">
        <f t="shared" si="152"/>
        <v>#NUM!</v>
      </c>
      <c r="HS43" s="362">
        <f t="shared" si="249"/>
        <v>0</v>
      </c>
      <c r="HT43" s="218" t="str">
        <f t="shared" si="250"/>
        <v>x</v>
      </c>
      <c r="HU43" s="358">
        <f t="shared" si="251"/>
        <v>0</v>
      </c>
      <c r="HV43" s="358">
        <f t="shared" si="252"/>
        <v>0</v>
      </c>
      <c r="HW43" s="359">
        <f t="shared" si="253"/>
        <v>0</v>
      </c>
      <c r="HX43" s="360">
        <f t="shared" si="271"/>
        <v>0</v>
      </c>
      <c r="HY43" s="361" t="e">
        <f t="shared" si="254"/>
        <v>#NUM!</v>
      </c>
      <c r="HZ43" s="362">
        <f t="shared" si="255"/>
        <v>0</v>
      </c>
      <c r="IA43" s="218" t="str">
        <f t="shared" si="256"/>
        <v>x</v>
      </c>
      <c r="IB43" s="358">
        <f t="shared" si="257"/>
        <v>0</v>
      </c>
      <c r="IC43" s="358">
        <f t="shared" si="258"/>
        <v>0</v>
      </c>
      <c r="ID43" s="359">
        <f t="shared" si="259"/>
        <v>0</v>
      </c>
      <c r="IE43" s="360">
        <f t="shared" si="272"/>
        <v>0</v>
      </c>
      <c r="IF43" s="361" t="e">
        <f t="shared" si="260"/>
        <v>#NUM!</v>
      </c>
      <c r="IG43" s="320"/>
      <c r="IH43" s="575">
        <f t="shared" si="273"/>
        <v>0</v>
      </c>
      <c r="II43" s="363">
        <f t="shared" si="153"/>
        <v>0</v>
      </c>
      <c r="IJ43" s="577"/>
      <c r="IK43" s="44"/>
      <c r="IL43" s="44"/>
      <c r="IM43" s="280">
        <f t="shared" si="262"/>
        <v>9</v>
      </c>
      <c r="IN43" s="341">
        <f t="shared" si="80"/>
        <v>0</v>
      </c>
      <c r="IO43" s="196" t="str">
        <f t="shared" si="154"/>
        <v xml:space="preserve"> </v>
      </c>
      <c r="IP43" s="342" t="str">
        <f t="shared" si="155"/>
        <v xml:space="preserve"> </v>
      </c>
      <c r="IQ43" s="280">
        <f t="shared" si="156"/>
        <v>0</v>
      </c>
      <c r="IR43" s="175">
        <f t="shared" si="81"/>
        <v>0</v>
      </c>
      <c r="IS43" s="280">
        <f t="shared" si="82"/>
        <v>1</v>
      </c>
      <c r="IT43" s="280">
        <f t="shared" si="83"/>
        <v>0</v>
      </c>
      <c r="IU43" s="280">
        <f t="shared" si="84"/>
        <v>0</v>
      </c>
      <c r="IV43" s="280">
        <f t="shared" si="85"/>
        <v>0</v>
      </c>
      <c r="IW43" s="280">
        <f t="shared" si="86"/>
        <v>0</v>
      </c>
      <c r="IX43" s="280">
        <f t="shared" si="87"/>
        <v>0</v>
      </c>
      <c r="IY43" s="280">
        <f t="shared" si="88"/>
        <v>0</v>
      </c>
      <c r="IZ43" s="280">
        <f t="shared" si="89"/>
        <v>0</v>
      </c>
      <c r="JA43" s="280">
        <f t="shared" si="90"/>
        <v>0</v>
      </c>
      <c r="JB43" s="280">
        <f t="shared" si="91"/>
        <v>0</v>
      </c>
      <c r="JC43" s="280">
        <f t="shared" si="92"/>
        <v>0</v>
      </c>
      <c r="JD43" s="280">
        <f t="shared" si="93"/>
        <v>0</v>
      </c>
      <c r="JE43" s="280">
        <f t="shared" si="94"/>
        <v>0</v>
      </c>
      <c r="JF43" s="280">
        <f t="shared" si="95"/>
        <v>0</v>
      </c>
      <c r="JG43" s="280">
        <f t="shared" si="96"/>
        <v>0</v>
      </c>
      <c r="JH43" s="280">
        <f t="shared" si="97"/>
        <v>0</v>
      </c>
      <c r="JI43" s="280">
        <f t="shared" si="98"/>
        <v>0</v>
      </c>
      <c r="JJ43" s="280">
        <f t="shared" si="99"/>
        <v>0</v>
      </c>
      <c r="JK43" s="280">
        <f t="shared" si="100"/>
        <v>0</v>
      </c>
      <c r="JL43" s="280">
        <f t="shared" si="101"/>
        <v>0</v>
      </c>
      <c r="JM43" s="280">
        <f t="shared" si="102"/>
        <v>0</v>
      </c>
      <c r="JN43" s="280">
        <f t="shared" si="103"/>
        <v>0</v>
      </c>
      <c r="JO43" s="280">
        <f t="shared" si="104"/>
        <v>0</v>
      </c>
      <c r="JP43" s="280">
        <f t="shared" si="105"/>
        <v>0</v>
      </c>
      <c r="JQ43" s="280">
        <f t="shared" si="106"/>
        <v>0</v>
      </c>
      <c r="JR43" s="280">
        <f t="shared" si="107"/>
        <v>0</v>
      </c>
      <c r="JS43" s="44">
        <f t="shared" si="157"/>
        <v>1</v>
      </c>
      <c r="JT43" s="343" t="str">
        <f t="shared" si="158"/>
        <v>F</v>
      </c>
      <c r="JU43" s="44"/>
      <c r="JV43" s="280">
        <f t="shared" si="159"/>
        <v>1</v>
      </c>
      <c r="JW43" s="280">
        <f t="shared" si="108"/>
        <v>0</v>
      </c>
      <c r="JX43" s="280">
        <f t="shared" si="109"/>
        <v>0</v>
      </c>
      <c r="JY43" s="280">
        <f t="shared" si="110"/>
        <v>0</v>
      </c>
      <c r="JZ43" s="280">
        <f t="shared" si="111"/>
        <v>0</v>
      </c>
      <c r="KA43" s="280">
        <f t="shared" si="112"/>
        <v>0</v>
      </c>
      <c r="KB43" s="44">
        <f t="shared" si="160"/>
        <v>1</v>
      </c>
      <c r="KC43" s="343" t="str">
        <f t="shared" si="161"/>
        <v>F</v>
      </c>
      <c r="KD43" s="280"/>
      <c r="KE43" s="280"/>
      <c r="KF43" s="280"/>
      <c r="KG43" s="280"/>
      <c r="KH43" s="280"/>
      <c r="KI43" s="280"/>
      <c r="KJ43" s="280"/>
      <c r="KK43" s="280"/>
      <c r="KO43" s="8"/>
      <c r="KW43" s="344"/>
      <c r="KX43" s="81"/>
      <c r="KY43" s="378"/>
      <c r="KZ43" s="268"/>
      <c r="LB43" s="345">
        <v>8</v>
      </c>
      <c r="LC43" s="204" t="s">
        <v>830</v>
      </c>
      <c r="LD43" s="169" t="s">
        <v>24</v>
      </c>
      <c r="LE43" s="347" t="s">
        <v>836</v>
      </c>
      <c r="LF43" s="169"/>
      <c r="LG43" s="169"/>
      <c r="LH43" s="169"/>
      <c r="LI43" s="169"/>
      <c r="LJ43" s="169"/>
      <c r="LK43" s="169"/>
      <c r="LL43" s="169"/>
      <c r="LM43" s="169"/>
      <c r="LN43" s="348"/>
    </row>
    <row r="44" spans="19:333" ht="16.149999999999999" customHeight="1" x14ac:dyDescent="0.25">
      <c r="S44" s="653"/>
      <c r="T44" s="1531"/>
      <c r="U44" s="1504" t="str">
        <f t="shared" si="63"/>
        <v/>
      </c>
      <c r="V44" s="1505"/>
      <c r="W44" s="1506"/>
      <c r="X44" s="817"/>
      <c r="Y44" s="862"/>
      <c r="Z44" s="1114" t="str">
        <f t="shared" si="64"/>
        <v xml:space="preserve"> </v>
      </c>
      <c r="AA44" s="276"/>
      <c r="AB44" s="1504" t="str">
        <f t="shared" si="65"/>
        <v/>
      </c>
      <c r="AC44" s="1505"/>
      <c r="AD44" s="1506"/>
      <c r="AE44" s="817"/>
      <c r="AF44" s="862"/>
      <c r="AG44" s="554" t="str">
        <f t="shared" si="66"/>
        <v xml:space="preserve"> </v>
      </c>
      <c r="AH44" s="276"/>
      <c r="AI44" s="1504" t="str">
        <f t="shared" si="276"/>
        <v/>
      </c>
      <c r="AJ44" s="1505"/>
      <c r="AK44" s="1506"/>
      <c r="AL44" s="817"/>
      <c r="AM44" s="818"/>
      <c r="AN44" s="1114" t="str">
        <f t="shared" si="67"/>
        <v xml:space="preserve"> </v>
      </c>
      <c r="AO44" s="348"/>
      <c r="AP44" s="719"/>
      <c r="AQ44" s="719"/>
      <c r="AR44" s="285"/>
      <c r="AS44" s="720"/>
      <c r="AT44" s="719"/>
      <c r="AU44" s="126"/>
      <c r="AV44" s="380"/>
      <c r="AW44" s="653"/>
      <c r="AX44" s="78">
        <f t="shared" si="68"/>
        <v>0</v>
      </c>
      <c r="AY44" s="78">
        <f t="shared" si="69"/>
        <v>0</v>
      </c>
      <c r="AZ44" s="78">
        <f t="shared" si="70"/>
        <v>0</v>
      </c>
      <c r="BA44" s="78">
        <f t="shared" si="71"/>
        <v>0</v>
      </c>
      <c r="BB44" s="78">
        <f t="shared" si="72"/>
        <v>0</v>
      </c>
      <c r="BC44" s="78">
        <f t="shared" si="73"/>
        <v>0</v>
      </c>
      <c r="BD44" s="78">
        <f t="shared" si="74"/>
        <v>0</v>
      </c>
      <c r="BE44" s="78">
        <f t="shared" si="75"/>
        <v>0</v>
      </c>
      <c r="BF44" s="78">
        <f t="shared" si="76"/>
        <v>0</v>
      </c>
      <c r="BG44" s="78">
        <f t="shared" si="77"/>
        <v>0</v>
      </c>
      <c r="BH44" s="78">
        <f t="shared" si="78"/>
        <v>0</v>
      </c>
      <c r="BI44" s="78">
        <f t="shared" si="79"/>
        <v>0</v>
      </c>
      <c r="BJ44" s="78">
        <f t="shared" si="113"/>
        <v>0</v>
      </c>
      <c r="BK44" s="78">
        <f t="shared" si="114"/>
        <v>0</v>
      </c>
      <c r="BV44" s="81"/>
      <c r="BW44" s="81"/>
      <c r="BX44" s="81"/>
      <c r="BY44" s="81"/>
      <c r="BZ44" s="81">
        <f t="shared" si="263"/>
        <v>9</v>
      </c>
      <c r="CA44" s="368">
        <v>8.1000000000000017E-4</v>
      </c>
      <c r="CB44" s="351">
        <f t="shared" si="162"/>
        <v>0</v>
      </c>
      <c r="CC44" s="537" t="str">
        <f t="shared" si="115"/>
        <v>X</v>
      </c>
      <c r="CD44" s="251" t="str">
        <f t="shared" si="116"/>
        <v>X</v>
      </c>
      <c r="CE44" s="251" t="e">
        <f t="shared" si="163"/>
        <v>#VALUE!</v>
      </c>
      <c r="CF44" s="352">
        <f t="shared" si="164"/>
        <v>1</v>
      </c>
      <c r="CG44" s="353" t="e">
        <f t="shared" si="165"/>
        <v>#NUM!</v>
      </c>
      <c r="CH44" s="354" t="e">
        <f t="shared" si="166"/>
        <v>#NUM!</v>
      </c>
      <c r="CI44" s="355">
        <f t="shared" si="167"/>
        <v>0</v>
      </c>
      <c r="CJ44" s="251" t="e">
        <f t="shared" si="168"/>
        <v>#NUM!</v>
      </c>
      <c r="CK44" s="218">
        <f t="shared" si="169"/>
        <v>0</v>
      </c>
      <c r="CL44" s="356">
        <f t="shared" si="170"/>
        <v>0</v>
      </c>
      <c r="CM44" s="357" t="e">
        <f t="shared" si="171"/>
        <v>#NUM!</v>
      </c>
      <c r="CN44" s="218">
        <f t="shared" si="172"/>
        <v>0</v>
      </c>
      <c r="CO44" s="218" t="str">
        <f t="shared" si="173"/>
        <v>x</v>
      </c>
      <c r="CP44" s="358">
        <f t="shared" si="174"/>
        <v>0</v>
      </c>
      <c r="CQ44" s="358">
        <f t="shared" si="175"/>
        <v>0</v>
      </c>
      <c r="CR44" s="359">
        <f t="shared" si="176"/>
        <v>0</v>
      </c>
      <c r="CS44" s="360">
        <f t="shared" si="177"/>
        <v>0</v>
      </c>
      <c r="CT44" s="361" t="e">
        <f t="shared" si="264"/>
        <v>#NUM!</v>
      </c>
      <c r="CU44" s="362">
        <f t="shared" si="178"/>
        <v>0</v>
      </c>
      <c r="CV44" s="218" t="str">
        <f t="shared" si="179"/>
        <v>x</v>
      </c>
      <c r="CW44" s="358">
        <f t="shared" si="180"/>
        <v>0</v>
      </c>
      <c r="CX44" s="358">
        <f t="shared" si="181"/>
        <v>0</v>
      </c>
      <c r="CY44" s="359">
        <f t="shared" si="265"/>
        <v>0</v>
      </c>
      <c r="CZ44" s="360">
        <f t="shared" si="182"/>
        <v>0</v>
      </c>
      <c r="DA44" s="361" t="e">
        <f t="shared" si="274"/>
        <v>#NUM!</v>
      </c>
      <c r="DB44" s="362">
        <f t="shared" si="183"/>
        <v>0</v>
      </c>
      <c r="DC44" s="218" t="str">
        <f t="shared" si="184"/>
        <v>x</v>
      </c>
      <c r="DD44" s="358">
        <f t="shared" si="185"/>
        <v>0</v>
      </c>
      <c r="DE44" s="358">
        <f t="shared" si="186"/>
        <v>0</v>
      </c>
      <c r="DF44" s="359">
        <f t="shared" si="187"/>
        <v>0</v>
      </c>
      <c r="DG44" s="360">
        <f t="shared" si="188"/>
        <v>0</v>
      </c>
      <c r="DH44" s="361" t="e">
        <f t="shared" si="189"/>
        <v>#NUM!</v>
      </c>
      <c r="DI44" s="362">
        <f t="shared" si="190"/>
        <v>0</v>
      </c>
      <c r="DJ44" s="218" t="str">
        <f t="shared" si="191"/>
        <v>x</v>
      </c>
      <c r="DK44" s="358">
        <f t="shared" si="192"/>
        <v>0</v>
      </c>
      <c r="DL44" s="358">
        <f t="shared" si="193"/>
        <v>0</v>
      </c>
      <c r="DM44" s="359">
        <f t="shared" si="194"/>
        <v>0</v>
      </c>
      <c r="DN44" s="360">
        <f t="shared" si="195"/>
        <v>0</v>
      </c>
      <c r="DO44" s="361" t="e">
        <f t="shared" si="196"/>
        <v>#NUM!</v>
      </c>
      <c r="DP44" s="361"/>
      <c r="DQ44" s="361">
        <f t="shared" si="266"/>
        <v>9</v>
      </c>
      <c r="DR44" s="368">
        <v>8.1000000000000017E-4</v>
      </c>
      <c r="DS44" s="351">
        <f t="shared" si="197"/>
        <v>0</v>
      </c>
      <c r="DT44" s="537" t="str">
        <f t="shared" si="117"/>
        <v>X</v>
      </c>
      <c r="DU44" s="251" t="str">
        <f t="shared" si="118"/>
        <v>X</v>
      </c>
      <c r="DV44" s="251" t="e">
        <f t="shared" si="198"/>
        <v>#VALUE!</v>
      </c>
      <c r="DW44" s="352">
        <f t="shared" si="275"/>
        <v>1</v>
      </c>
      <c r="DX44" s="354" t="e">
        <f t="shared" si="199"/>
        <v>#NUM!</v>
      </c>
      <c r="DY44" s="354" t="e">
        <f t="shared" si="267"/>
        <v>#NUM!</v>
      </c>
      <c r="DZ44" s="355">
        <f t="shared" si="200"/>
        <v>0</v>
      </c>
      <c r="EA44" s="251" t="e">
        <f t="shared" si="201"/>
        <v>#NUM!</v>
      </c>
      <c r="EB44" s="218">
        <f t="shared" si="202"/>
        <v>0</v>
      </c>
      <c r="EC44" s="356">
        <f t="shared" si="203"/>
        <v>0</v>
      </c>
      <c r="ED44" s="587" t="e">
        <f t="shared" si="204"/>
        <v>#NUM!</v>
      </c>
      <c r="EE44" s="362">
        <f t="shared" si="119"/>
        <v>0</v>
      </c>
      <c r="EF44" s="218" t="str">
        <f t="shared" si="120"/>
        <v>x</v>
      </c>
      <c r="EG44" s="608">
        <f t="shared" si="121"/>
        <v>0</v>
      </c>
      <c r="EH44" s="608">
        <f t="shared" si="122"/>
        <v>0</v>
      </c>
      <c r="EI44" s="359">
        <f>IF(EH44=1,EE49,0)</f>
        <v>0</v>
      </c>
      <c r="EJ44" s="360">
        <f t="shared" si="123"/>
        <v>0</v>
      </c>
      <c r="EK44" s="361" t="e">
        <f t="shared" si="124"/>
        <v>#NUM!</v>
      </c>
      <c r="EL44" s="362">
        <f t="shared" si="125"/>
        <v>0</v>
      </c>
      <c r="EM44" s="218" t="str">
        <f t="shared" si="126"/>
        <v>x</v>
      </c>
      <c r="EN44" s="358">
        <f t="shared" si="205"/>
        <v>0</v>
      </c>
      <c r="EO44" s="358">
        <f t="shared" si="206"/>
        <v>0</v>
      </c>
      <c r="EP44" s="359">
        <f>IF(EO44=1,EL49,0)</f>
        <v>0</v>
      </c>
      <c r="EQ44" s="360">
        <f t="shared" si="207"/>
        <v>0</v>
      </c>
      <c r="ER44" s="361" t="e">
        <f t="shared" si="127"/>
        <v>#NUM!</v>
      </c>
      <c r="ES44" s="362">
        <f t="shared" si="128"/>
        <v>0</v>
      </c>
      <c r="ET44" s="218" t="str">
        <f t="shared" si="129"/>
        <v>x</v>
      </c>
      <c r="EU44" s="358">
        <f t="shared" si="208"/>
        <v>0</v>
      </c>
      <c r="EV44" s="358">
        <f t="shared" si="209"/>
        <v>0</v>
      </c>
      <c r="EW44" s="359">
        <f>IF(EV44=1,ES49,0)</f>
        <v>0</v>
      </c>
      <c r="EX44" s="360">
        <f t="shared" si="210"/>
        <v>0</v>
      </c>
      <c r="EY44" s="361" t="e">
        <f t="shared" si="130"/>
        <v>#NUM!</v>
      </c>
      <c r="EZ44" s="362">
        <f t="shared" si="131"/>
        <v>0</v>
      </c>
      <c r="FA44" s="218" t="str">
        <f t="shared" si="132"/>
        <v>x</v>
      </c>
      <c r="FB44" s="358">
        <f t="shared" si="211"/>
        <v>0</v>
      </c>
      <c r="FC44" s="358">
        <f t="shared" si="212"/>
        <v>0</v>
      </c>
      <c r="FD44" s="359">
        <f>IF(FC44=1,EZ49,0)</f>
        <v>0</v>
      </c>
      <c r="FE44" s="360">
        <f t="shared" si="213"/>
        <v>0</v>
      </c>
      <c r="FF44" s="361" t="e">
        <f t="shared" si="133"/>
        <v>#NUM!</v>
      </c>
      <c r="FG44" s="362">
        <f t="shared" si="134"/>
        <v>0</v>
      </c>
      <c r="FH44" s="218" t="str">
        <f t="shared" si="135"/>
        <v>x</v>
      </c>
      <c r="FI44" s="358">
        <f t="shared" si="214"/>
        <v>0</v>
      </c>
      <c r="FJ44" s="358">
        <f t="shared" si="215"/>
        <v>0</v>
      </c>
      <c r="FK44" s="359">
        <f>IF(FJ44=1,FG49,0)</f>
        <v>0</v>
      </c>
      <c r="FL44" s="360">
        <f t="shared" si="216"/>
        <v>0</v>
      </c>
      <c r="FM44" s="361" t="e">
        <f t="shared" si="136"/>
        <v>#NUM!</v>
      </c>
      <c r="FN44" s="362">
        <f t="shared" si="137"/>
        <v>0</v>
      </c>
      <c r="FO44" s="218" t="str">
        <f t="shared" si="138"/>
        <v>x</v>
      </c>
      <c r="FP44" s="358">
        <f t="shared" si="217"/>
        <v>0</v>
      </c>
      <c r="FQ44" s="358">
        <f t="shared" si="218"/>
        <v>0</v>
      </c>
      <c r="FR44" s="359">
        <f>IF(FQ44=1,FN49,0)</f>
        <v>0</v>
      </c>
      <c r="FS44" s="360">
        <f t="shared" si="219"/>
        <v>0</v>
      </c>
      <c r="FT44" s="361" t="e">
        <f t="shared" si="139"/>
        <v>#NUM!</v>
      </c>
      <c r="FU44" s="362">
        <f t="shared" si="140"/>
        <v>0</v>
      </c>
      <c r="FV44" s="218" t="str">
        <f t="shared" si="141"/>
        <v>x</v>
      </c>
      <c r="FW44" s="358">
        <f t="shared" si="220"/>
        <v>0</v>
      </c>
      <c r="FX44" s="358">
        <f t="shared" si="221"/>
        <v>0</v>
      </c>
      <c r="FY44" s="359">
        <f>IF(FX44=1,FU49,0)</f>
        <v>0</v>
      </c>
      <c r="FZ44" s="360">
        <f t="shared" si="222"/>
        <v>0</v>
      </c>
      <c r="GA44" s="361" t="e">
        <f t="shared" si="142"/>
        <v>#NUM!</v>
      </c>
      <c r="GB44" s="362">
        <f t="shared" si="143"/>
        <v>0</v>
      </c>
      <c r="GC44" s="218" t="str">
        <f t="shared" si="144"/>
        <v>x</v>
      </c>
      <c r="GD44" s="358">
        <f t="shared" si="223"/>
        <v>0</v>
      </c>
      <c r="GE44" s="358">
        <f t="shared" si="224"/>
        <v>0</v>
      </c>
      <c r="GF44" s="359">
        <f>IF(GE44=1,GB49,0)</f>
        <v>0</v>
      </c>
      <c r="GG44" s="360">
        <f t="shared" si="225"/>
        <v>0</v>
      </c>
      <c r="GH44" s="361" t="e">
        <f t="shared" si="145"/>
        <v>#NUM!</v>
      </c>
      <c r="GI44" s="361"/>
      <c r="GJ44" s="361"/>
      <c r="GK44" s="368">
        <v>8.1000000000000017E-4</v>
      </c>
      <c r="GL44" s="351">
        <f t="shared" si="146"/>
        <v>0</v>
      </c>
      <c r="GM44" s="537" t="str">
        <f t="shared" si="147"/>
        <v>X</v>
      </c>
      <c r="GN44" s="251" t="str">
        <f t="shared" si="148"/>
        <v>X</v>
      </c>
      <c r="GO44" s="251" t="e">
        <f t="shared" si="226"/>
        <v>#VALUE!</v>
      </c>
      <c r="GP44" s="352">
        <f t="shared" si="227"/>
        <v>1</v>
      </c>
      <c r="GQ44" s="354" t="e">
        <f t="shared" si="228"/>
        <v>#NUM!</v>
      </c>
      <c r="GR44" s="354" t="e">
        <f t="shared" si="229"/>
        <v>#NUM!</v>
      </c>
      <c r="GS44" s="355">
        <f t="shared" si="230"/>
        <v>0</v>
      </c>
      <c r="GT44" s="251" t="e">
        <f t="shared" si="231"/>
        <v>#NUM!</v>
      </c>
      <c r="GU44" s="218">
        <f t="shared" si="232"/>
        <v>0</v>
      </c>
      <c r="GV44" s="356">
        <f t="shared" si="233"/>
        <v>0</v>
      </c>
      <c r="GW44" s="587" t="e">
        <f t="shared" si="234"/>
        <v>#NUM!</v>
      </c>
      <c r="GX44" s="362">
        <f t="shared" si="235"/>
        <v>0</v>
      </c>
      <c r="GY44" s="218" t="str">
        <f t="shared" si="236"/>
        <v>x</v>
      </c>
      <c r="GZ44" s="358">
        <f t="shared" si="237"/>
        <v>0</v>
      </c>
      <c r="HA44" s="358">
        <f t="shared" si="268"/>
        <v>0</v>
      </c>
      <c r="HB44" s="359">
        <f t="shared" si="238"/>
        <v>0</v>
      </c>
      <c r="HC44" s="360">
        <f t="shared" si="269"/>
        <v>0</v>
      </c>
      <c r="HD44" s="361" t="e">
        <f t="shared" si="270"/>
        <v>#NUM!</v>
      </c>
      <c r="HE44" s="362">
        <f t="shared" si="239"/>
        <v>0</v>
      </c>
      <c r="HF44" s="218" t="str">
        <f t="shared" si="149"/>
        <v>x</v>
      </c>
      <c r="HG44" s="358">
        <f t="shared" si="240"/>
        <v>0</v>
      </c>
      <c r="HH44" s="358">
        <f t="shared" si="241"/>
        <v>0</v>
      </c>
      <c r="HI44" s="359">
        <f t="shared" si="242"/>
        <v>0</v>
      </c>
      <c r="HJ44" s="360">
        <f t="shared" si="243"/>
        <v>0</v>
      </c>
      <c r="HK44" s="361" t="e">
        <f t="shared" si="150"/>
        <v>#NUM!</v>
      </c>
      <c r="HL44" s="362">
        <f t="shared" si="244"/>
        <v>0</v>
      </c>
      <c r="HM44" s="218" t="str">
        <f t="shared" si="151"/>
        <v>x</v>
      </c>
      <c r="HN44" s="358">
        <f t="shared" si="245"/>
        <v>0</v>
      </c>
      <c r="HO44" s="358">
        <f t="shared" si="246"/>
        <v>0</v>
      </c>
      <c r="HP44" s="359">
        <f t="shared" si="247"/>
        <v>0</v>
      </c>
      <c r="HQ44" s="360">
        <f t="shared" si="248"/>
        <v>0</v>
      </c>
      <c r="HR44" s="361" t="e">
        <f t="shared" si="152"/>
        <v>#NUM!</v>
      </c>
      <c r="HS44" s="362">
        <f t="shared" si="249"/>
        <v>0</v>
      </c>
      <c r="HT44" s="218" t="str">
        <f t="shared" si="250"/>
        <v>x</v>
      </c>
      <c r="HU44" s="358">
        <f t="shared" si="251"/>
        <v>0</v>
      </c>
      <c r="HV44" s="358">
        <f t="shared" si="252"/>
        <v>0</v>
      </c>
      <c r="HW44" s="359">
        <f t="shared" si="253"/>
        <v>0</v>
      </c>
      <c r="HX44" s="360">
        <f t="shared" si="271"/>
        <v>0</v>
      </c>
      <c r="HY44" s="361" t="e">
        <f t="shared" si="254"/>
        <v>#NUM!</v>
      </c>
      <c r="HZ44" s="362">
        <f t="shared" si="255"/>
        <v>0</v>
      </c>
      <c r="IA44" s="218" t="str">
        <f t="shared" si="256"/>
        <v>x</v>
      </c>
      <c r="IB44" s="358">
        <f t="shared" si="257"/>
        <v>0</v>
      </c>
      <c r="IC44" s="358">
        <f t="shared" si="258"/>
        <v>0</v>
      </c>
      <c r="ID44" s="359">
        <f t="shared" si="259"/>
        <v>0</v>
      </c>
      <c r="IE44" s="360">
        <f t="shared" si="272"/>
        <v>0</v>
      </c>
      <c r="IF44" s="361" t="e">
        <f t="shared" si="260"/>
        <v>#NUM!</v>
      </c>
      <c r="IG44" s="320"/>
      <c r="IH44" s="575">
        <f t="shared" si="273"/>
        <v>0</v>
      </c>
      <c r="II44" s="363">
        <f t="shared" si="153"/>
        <v>0</v>
      </c>
      <c r="IJ44" s="577"/>
      <c r="IK44" s="44"/>
      <c r="IL44" s="44"/>
      <c r="IM44" s="280">
        <f t="shared" si="262"/>
        <v>10</v>
      </c>
      <c r="IN44" s="341">
        <f t="shared" si="80"/>
        <v>0</v>
      </c>
      <c r="IO44" s="196" t="str">
        <f t="shared" si="154"/>
        <v xml:space="preserve"> </v>
      </c>
      <c r="IP44" s="342" t="str">
        <f t="shared" si="155"/>
        <v xml:space="preserve"> </v>
      </c>
      <c r="IQ44" s="280">
        <f t="shared" si="156"/>
        <v>0</v>
      </c>
      <c r="IR44" s="175">
        <f t="shared" si="81"/>
        <v>0</v>
      </c>
      <c r="IS44" s="280">
        <f t="shared" si="82"/>
        <v>1</v>
      </c>
      <c r="IT44" s="280">
        <f t="shared" si="83"/>
        <v>0</v>
      </c>
      <c r="IU44" s="280">
        <f t="shared" si="84"/>
        <v>0</v>
      </c>
      <c r="IV44" s="280">
        <f t="shared" si="85"/>
        <v>0</v>
      </c>
      <c r="IW44" s="280">
        <f t="shared" si="86"/>
        <v>0</v>
      </c>
      <c r="IX44" s="280">
        <f t="shared" si="87"/>
        <v>0</v>
      </c>
      <c r="IY44" s="280">
        <f t="shared" si="88"/>
        <v>0</v>
      </c>
      <c r="IZ44" s="280">
        <f t="shared" si="89"/>
        <v>0</v>
      </c>
      <c r="JA44" s="280">
        <f t="shared" si="90"/>
        <v>0</v>
      </c>
      <c r="JB44" s="280">
        <f t="shared" si="91"/>
        <v>0</v>
      </c>
      <c r="JC44" s="280">
        <f t="shared" si="92"/>
        <v>0</v>
      </c>
      <c r="JD44" s="280">
        <f t="shared" si="93"/>
        <v>0</v>
      </c>
      <c r="JE44" s="280">
        <f t="shared" si="94"/>
        <v>0</v>
      </c>
      <c r="JF44" s="280">
        <f t="shared" si="95"/>
        <v>0</v>
      </c>
      <c r="JG44" s="280">
        <f t="shared" si="96"/>
        <v>0</v>
      </c>
      <c r="JH44" s="280">
        <f t="shared" si="97"/>
        <v>0</v>
      </c>
      <c r="JI44" s="280">
        <f t="shared" si="98"/>
        <v>0</v>
      </c>
      <c r="JJ44" s="280">
        <f t="shared" si="99"/>
        <v>0</v>
      </c>
      <c r="JK44" s="280">
        <f t="shared" si="100"/>
        <v>0</v>
      </c>
      <c r="JL44" s="280">
        <f t="shared" si="101"/>
        <v>0</v>
      </c>
      <c r="JM44" s="280">
        <f t="shared" si="102"/>
        <v>0</v>
      </c>
      <c r="JN44" s="280">
        <f t="shared" si="103"/>
        <v>0</v>
      </c>
      <c r="JO44" s="280">
        <f t="shared" si="104"/>
        <v>0</v>
      </c>
      <c r="JP44" s="280">
        <f t="shared" si="105"/>
        <v>0</v>
      </c>
      <c r="JQ44" s="280">
        <f t="shared" si="106"/>
        <v>0</v>
      </c>
      <c r="JR44" s="280">
        <f t="shared" si="107"/>
        <v>0</v>
      </c>
      <c r="JS44" s="44">
        <f t="shared" si="157"/>
        <v>1</v>
      </c>
      <c r="JT44" s="343" t="str">
        <f t="shared" si="158"/>
        <v>F</v>
      </c>
      <c r="JU44" s="44"/>
      <c r="JV44" s="280">
        <f t="shared" si="159"/>
        <v>1</v>
      </c>
      <c r="JW44" s="280">
        <f t="shared" si="108"/>
        <v>0</v>
      </c>
      <c r="JX44" s="280">
        <f t="shared" si="109"/>
        <v>0</v>
      </c>
      <c r="JY44" s="280">
        <f t="shared" si="110"/>
        <v>0</v>
      </c>
      <c r="JZ44" s="280">
        <f t="shared" si="111"/>
        <v>0</v>
      </c>
      <c r="KA44" s="280">
        <f t="shared" si="112"/>
        <v>0</v>
      </c>
      <c r="KB44" s="44">
        <f t="shared" si="160"/>
        <v>1</v>
      </c>
      <c r="KC44" s="343" t="str">
        <f t="shared" si="161"/>
        <v>F</v>
      </c>
      <c r="KD44" s="280"/>
      <c r="KE44" s="280"/>
      <c r="KF44" s="280"/>
      <c r="KG44" s="280"/>
      <c r="KH44" s="280"/>
      <c r="KI44" s="280"/>
      <c r="KJ44" s="280"/>
      <c r="KK44" s="280"/>
      <c r="KO44" s="8"/>
      <c r="KR44" s="328"/>
      <c r="KW44" s="344"/>
      <c r="KX44" s="81"/>
      <c r="KY44" s="378"/>
      <c r="KZ44" s="268"/>
      <c r="LB44" s="68" t="s">
        <v>837</v>
      </c>
      <c r="LC44" s="312"/>
      <c r="LD44" s="312"/>
      <c r="LE44" s="312"/>
      <c r="LF44" s="312"/>
      <c r="LG44" s="312"/>
      <c r="LH44" s="312"/>
      <c r="LI44" s="312"/>
      <c r="LJ44" s="312"/>
      <c r="LK44" s="312"/>
      <c r="LL44" s="312"/>
      <c r="LM44" s="313"/>
      <c r="LN44" s="314"/>
    </row>
    <row r="45" spans="19:333" ht="16.149999999999999" customHeight="1" x14ac:dyDescent="0.25">
      <c r="S45" s="653"/>
      <c r="T45" s="1531"/>
      <c r="U45" s="1504" t="str">
        <f t="shared" si="63"/>
        <v/>
      </c>
      <c r="V45" s="1505"/>
      <c r="W45" s="1506"/>
      <c r="X45" s="817"/>
      <c r="Y45" s="862"/>
      <c r="Z45" s="1114" t="str">
        <f t="shared" si="64"/>
        <v xml:space="preserve"> </v>
      </c>
      <c r="AA45" s="276"/>
      <c r="AB45" s="1504" t="str">
        <f t="shared" si="65"/>
        <v/>
      </c>
      <c r="AC45" s="1505"/>
      <c r="AD45" s="1506"/>
      <c r="AE45" s="817"/>
      <c r="AF45" s="862"/>
      <c r="AG45" s="554" t="str">
        <f t="shared" si="66"/>
        <v xml:space="preserve"> </v>
      </c>
      <c r="AH45" s="276"/>
      <c r="AI45" s="1504" t="str">
        <f t="shared" si="276"/>
        <v/>
      </c>
      <c r="AJ45" s="1505"/>
      <c r="AK45" s="1506"/>
      <c r="AL45" s="817"/>
      <c r="AM45" s="818"/>
      <c r="AN45" s="1114" t="str">
        <f t="shared" si="67"/>
        <v xml:space="preserve"> </v>
      </c>
      <c r="AO45" s="348"/>
      <c r="AP45" s="719"/>
      <c r="AQ45" s="719"/>
      <c r="AR45" s="285"/>
      <c r="AS45" s="720"/>
      <c r="AT45" s="719"/>
      <c r="AU45" s="126"/>
      <c r="AV45" s="126"/>
      <c r="AW45" s="653"/>
      <c r="AX45" s="78">
        <f t="shared" si="68"/>
        <v>0</v>
      </c>
      <c r="AY45" s="78">
        <f t="shared" si="69"/>
        <v>0</v>
      </c>
      <c r="AZ45" s="78">
        <f t="shared" si="70"/>
        <v>0</v>
      </c>
      <c r="BA45" s="78">
        <f t="shared" si="71"/>
        <v>0</v>
      </c>
      <c r="BB45" s="78">
        <f t="shared" si="72"/>
        <v>0</v>
      </c>
      <c r="BC45" s="78">
        <f t="shared" si="73"/>
        <v>0</v>
      </c>
      <c r="BD45" s="78">
        <f t="shared" si="74"/>
        <v>0</v>
      </c>
      <c r="BE45" s="78">
        <f t="shared" si="75"/>
        <v>0</v>
      </c>
      <c r="BF45" s="78">
        <f t="shared" si="76"/>
        <v>0</v>
      </c>
      <c r="BG45" s="78">
        <f t="shared" si="77"/>
        <v>0</v>
      </c>
      <c r="BH45" s="78">
        <f t="shared" si="78"/>
        <v>0</v>
      </c>
      <c r="BI45" s="78">
        <f t="shared" si="79"/>
        <v>0</v>
      </c>
      <c r="BJ45" s="78">
        <f t="shared" si="113"/>
        <v>0</v>
      </c>
      <c r="BK45" s="78">
        <f t="shared" si="114"/>
        <v>0</v>
      </c>
      <c r="BV45" s="81"/>
      <c r="BW45" s="81"/>
      <c r="BX45" s="81"/>
      <c r="BY45" s="81"/>
      <c r="BZ45" s="81">
        <f t="shared" si="263"/>
        <v>10</v>
      </c>
      <c r="CA45" s="368">
        <v>9.1000000000000022E-4</v>
      </c>
      <c r="CB45" s="351">
        <f t="shared" si="162"/>
        <v>0</v>
      </c>
      <c r="CC45" s="537" t="str">
        <f t="shared" si="115"/>
        <v>X</v>
      </c>
      <c r="CD45" s="251" t="str">
        <f t="shared" si="116"/>
        <v>X</v>
      </c>
      <c r="CE45" s="251" t="e">
        <f t="shared" si="163"/>
        <v>#VALUE!</v>
      </c>
      <c r="CF45" s="352">
        <f t="shared" si="164"/>
        <v>1</v>
      </c>
      <c r="CG45" s="353" t="e">
        <f t="shared" si="165"/>
        <v>#NUM!</v>
      </c>
      <c r="CH45" s="354" t="e">
        <f t="shared" si="166"/>
        <v>#NUM!</v>
      </c>
      <c r="CI45" s="355">
        <f t="shared" si="167"/>
        <v>0</v>
      </c>
      <c r="CJ45" s="251" t="e">
        <f t="shared" si="168"/>
        <v>#NUM!</v>
      </c>
      <c r="CK45" s="218">
        <f t="shared" si="169"/>
        <v>0</v>
      </c>
      <c r="CL45" s="356">
        <f t="shared" si="170"/>
        <v>0</v>
      </c>
      <c r="CM45" s="357" t="e">
        <f t="shared" si="171"/>
        <v>#NUM!</v>
      </c>
      <c r="CN45" s="218">
        <f t="shared" si="172"/>
        <v>0</v>
      </c>
      <c r="CO45" s="218" t="str">
        <f t="shared" si="173"/>
        <v>x</v>
      </c>
      <c r="CP45" s="358">
        <f t="shared" si="174"/>
        <v>0</v>
      </c>
      <c r="CQ45" s="358">
        <f t="shared" si="175"/>
        <v>0</v>
      </c>
      <c r="CR45" s="359">
        <f t="shared" si="176"/>
        <v>0</v>
      </c>
      <c r="CS45" s="360">
        <f t="shared" si="177"/>
        <v>0</v>
      </c>
      <c r="CT45" s="361" t="e">
        <f t="shared" si="264"/>
        <v>#NUM!</v>
      </c>
      <c r="CU45" s="362">
        <f t="shared" si="178"/>
        <v>0</v>
      </c>
      <c r="CV45" s="218" t="str">
        <f t="shared" si="179"/>
        <v>x</v>
      </c>
      <c r="CW45" s="358">
        <f t="shared" si="180"/>
        <v>0</v>
      </c>
      <c r="CX45" s="358">
        <f t="shared" si="181"/>
        <v>0</v>
      </c>
      <c r="CY45" s="359">
        <f t="shared" si="265"/>
        <v>0</v>
      </c>
      <c r="CZ45" s="360">
        <f t="shared" si="182"/>
        <v>0</v>
      </c>
      <c r="DA45" s="361" t="e">
        <f t="shared" si="274"/>
        <v>#NUM!</v>
      </c>
      <c r="DB45" s="362">
        <f t="shared" si="183"/>
        <v>0</v>
      </c>
      <c r="DC45" s="218" t="str">
        <f t="shared" si="184"/>
        <v>x</v>
      </c>
      <c r="DD45" s="358">
        <f t="shared" si="185"/>
        <v>0</v>
      </c>
      <c r="DE45" s="358">
        <f t="shared" si="186"/>
        <v>0</v>
      </c>
      <c r="DF45" s="359">
        <f t="shared" si="187"/>
        <v>0</v>
      </c>
      <c r="DG45" s="360">
        <f t="shared" si="188"/>
        <v>0</v>
      </c>
      <c r="DH45" s="361" t="e">
        <f t="shared" si="189"/>
        <v>#NUM!</v>
      </c>
      <c r="DI45" s="362">
        <f t="shared" si="190"/>
        <v>0</v>
      </c>
      <c r="DJ45" s="218" t="str">
        <f t="shared" si="191"/>
        <v>x</v>
      </c>
      <c r="DK45" s="358">
        <f t="shared" si="192"/>
        <v>0</v>
      </c>
      <c r="DL45" s="358">
        <f t="shared" si="193"/>
        <v>0</v>
      </c>
      <c r="DM45" s="359">
        <f t="shared" si="194"/>
        <v>0</v>
      </c>
      <c r="DN45" s="360">
        <f t="shared" si="195"/>
        <v>0</v>
      </c>
      <c r="DO45" s="361" t="e">
        <f t="shared" si="196"/>
        <v>#NUM!</v>
      </c>
      <c r="DP45" s="361"/>
      <c r="DQ45" s="361">
        <f t="shared" si="266"/>
        <v>10</v>
      </c>
      <c r="DR45" s="368">
        <v>9.1000000000000022E-4</v>
      </c>
      <c r="DS45" s="351">
        <f t="shared" si="197"/>
        <v>0</v>
      </c>
      <c r="DT45" s="537" t="str">
        <f t="shared" si="117"/>
        <v>X</v>
      </c>
      <c r="DU45" s="251" t="str">
        <f t="shared" si="118"/>
        <v>X</v>
      </c>
      <c r="DV45" s="251" t="e">
        <f t="shared" si="198"/>
        <v>#VALUE!</v>
      </c>
      <c r="DW45" s="352">
        <f t="shared" si="275"/>
        <v>1</v>
      </c>
      <c r="DX45" s="354" t="e">
        <f t="shared" si="199"/>
        <v>#NUM!</v>
      </c>
      <c r="DY45" s="354" t="e">
        <f t="shared" si="267"/>
        <v>#NUM!</v>
      </c>
      <c r="DZ45" s="355">
        <f t="shared" si="200"/>
        <v>0</v>
      </c>
      <c r="EA45" s="251" t="e">
        <f t="shared" si="201"/>
        <v>#NUM!</v>
      </c>
      <c r="EB45" s="218">
        <f t="shared" si="202"/>
        <v>0</v>
      </c>
      <c r="EC45" s="356">
        <f t="shared" si="203"/>
        <v>0</v>
      </c>
      <c r="ED45" s="587" t="e">
        <f t="shared" si="204"/>
        <v>#NUM!</v>
      </c>
      <c r="EE45" s="362">
        <f t="shared" si="119"/>
        <v>0</v>
      </c>
      <c r="EF45" s="218" t="str">
        <f t="shared" si="120"/>
        <v>x</v>
      </c>
      <c r="EG45" s="608">
        <f t="shared" si="121"/>
        <v>0</v>
      </c>
      <c r="EH45" s="608">
        <f t="shared" si="122"/>
        <v>0</v>
      </c>
      <c r="EI45" s="359">
        <f>IF(EH45=1,EE49,0)</f>
        <v>0</v>
      </c>
      <c r="EJ45" s="360">
        <f t="shared" si="123"/>
        <v>0</v>
      </c>
      <c r="EK45" s="361" t="e">
        <f t="shared" si="124"/>
        <v>#NUM!</v>
      </c>
      <c r="EL45" s="362">
        <f t="shared" si="125"/>
        <v>0</v>
      </c>
      <c r="EM45" s="218" t="str">
        <f t="shared" si="126"/>
        <v>x</v>
      </c>
      <c r="EN45" s="358">
        <f t="shared" si="205"/>
        <v>0</v>
      </c>
      <c r="EO45" s="358">
        <f t="shared" si="206"/>
        <v>0</v>
      </c>
      <c r="EP45" s="359">
        <f>IF(EO45=1,EL49,0)</f>
        <v>0</v>
      </c>
      <c r="EQ45" s="360">
        <f t="shared" si="207"/>
        <v>0</v>
      </c>
      <c r="ER45" s="361" t="e">
        <f t="shared" si="127"/>
        <v>#NUM!</v>
      </c>
      <c r="ES45" s="362">
        <f t="shared" si="128"/>
        <v>0</v>
      </c>
      <c r="ET45" s="218" t="str">
        <f t="shared" si="129"/>
        <v>x</v>
      </c>
      <c r="EU45" s="358">
        <f t="shared" si="208"/>
        <v>0</v>
      </c>
      <c r="EV45" s="358">
        <f t="shared" si="209"/>
        <v>0</v>
      </c>
      <c r="EW45" s="359">
        <f>IF(EV45=1,ES49,0)</f>
        <v>0</v>
      </c>
      <c r="EX45" s="360">
        <f t="shared" si="210"/>
        <v>0</v>
      </c>
      <c r="EY45" s="361" t="e">
        <f t="shared" si="130"/>
        <v>#NUM!</v>
      </c>
      <c r="EZ45" s="362">
        <f t="shared" si="131"/>
        <v>0</v>
      </c>
      <c r="FA45" s="218" t="str">
        <f t="shared" si="132"/>
        <v>x</v>
      </c>
      <c r="FB45" s="358">
        <f t="shared" si="211"/>
        <v>0</v>
      </c>
      <c r="FC45" s="358">
        <f t="shared" si="212"/>
        <v>0</v>
      </c>
      <c r="FD45" s="359">
        <f>IF(FC45=1,EZ49,0)</f>
        <v>0</v>
      </c>
      <c r="FE45" s="360">
        <f t="shared" si="213"/>
        <v>0</v>
      </c>
      <c r="FF45" s="361" t="e">
        <f t="shared" si="133"/>
        <v>#NUM!</v>
      </c>
      <c r="FG45" s="362">
        <f t="shared" si="134"/>
        <v>0</v>
      </c>
      <c r="FH45" s="218" t="str">
        <f t="shared" si="135"/>
        <v>x</v>
      </c>
      <c r="FI45" s="358">
        <f t="shared" si="214"/>
        <v>0</v>
      </c>
      <c r="FJ45" s="358">
        <f t="shared" si="215"/>
        <v>0</v>
      </c>
      <c r="FK45" s="359">
        <f>IF(FJ45=1,FG49,0)</f>
        <v>0</v>
      </c>
      <c r="FL45" s="360">
        <f t="shared" si="216"/>
        <v>0</v>
      </c>
      <c r="FM45" s="361" t="e">
        <f t="shared" si="136"/>
        <v>#NUM!</v>
      </c>
      <c r="FN45" s="362">
        <f t="shared" si="137"/>
        <v>0</v>
      </c>
      <c r="FO45" s="218" t="str">
        <f t="shared" si="138"/>
        <v>x</v>
      </c>
      <c r="FP45" s="358">
        <f t="shared" si="217"/>
        <v>0</v>
      </c>
      <c r="FQ45" s="358">
        <f t="shared" si="218"/>
        <v>0</v>
      </c>
      <c r="FR45" s="359">
        <f>IF(FQ45=1,FN49,0)</f>
        <v>0</v>
      </c>
      <c r="FS45" s="360">
        <f t="shared" si="219"/>
        <v>0</v>
      </c>
      <c r="FT45" s="361" t="e">
        <f t="shared" si="139"/>
        <v>#NUM!</v>
      </c>
      <c r="FU45" s="362">
        <f t="shared" si="140"/>
        <v>0</v>
      </c>
      <c r="FV45" s="218" t="str">
        <f t="shared" si="141"/>
        <v>x</v>
      </c>
      <c r="FW45" s="358">
        <f t="shared" si="220"/>
        <v>0</v>
      </c>
      <c r="FX45" s="358">
        <f t="shared" si="221"/>
        <v>0</v>
      </c>
      <c r="FY45" s="359">
        <f>IF(FX45=1,FU49,0)</f>
        <v>0</v>
      </c>
      <c r="FZ45" s="360">
        <f t="shared" si="222"/>
        <v>0</v>
      </c>
      <c r="GA45" s="361" t="e">
        <f t="shared" si="142"/>
        <v>#NUM!</v>
      </c>
      <c r="GB45" s="362">
        <f t="shared" si="143"/>
        <v>0</v>
      </c>
      <c r="GC45" s="218" t="str">
        <f t="shared" si="144"/>
        <v>x</v>
      </c>
      <c r="GD45" s="358">
        <f t="shared" si="223"/>
        <v>0</v>
      </c>
      <c r="GE45" s="358">
        <f t="shared" si="224"/>
        <v>0</v>
      </c>
      <c r="GF45" s="359">
        <f>IF(GE45=1,GB49,0)</f>
        <v>0</v>
      </c>
      <c r="GG45" s="360">
        <f t="shared" si="225"/>
        <v>0</v>
      </c>
      <c r="GH45" s="361" t="e">
        <f t="shared" si="145"/>
        <v>#NUM!</v>
      </c>
      <c r="GI45" s="361"/>
      <c r="GJ45" s="361"/>
      <c r="GK45" s="368">
        <v>9.1000000000000022E-4</v>
      </c>
      <c r="GL45" s="351">
        <f t="shared" si="146"/>
        <v>0</v>
      </c>
      <c r="GM45" s="537" t="str">
        <f t="shared" si="147"/>
        <v>X</v>
      </c>
      <c r="GN45" s="251" t="str">
        <f t="shared" si="148"/>
        <v>X</v>
      </c>
      <c r="GO45" s="251" t="e">
        <f t="shared" si="226"/>
        <v>#VALUE!</v>
      </c>
      <c r="GP45" s="352">
        <f t="shared" si="227"/>
        <v>1</v>
      </c>
      <c r="GQ45" s="354" t="e">
        <f t="shared" si="228"/>
        <v>#NUM!</v>
      </c>
      <c r="GR45" s="354" t="e">
        <f t="shared" si="229"/>
        <v>#NUM!</v>
      </c>
      <c r="GS45" s="355">
        <f t="shared" si="230"/>
        <v>0</v>
      </c>
      <c r="GT45" s="251" t="e">
        <f t="shared" si="231"/>
        <v>#NUM!</v>
      </c>
      <c r="GU45" s="218">
        <f t="shared" si="232"/>
        <v>0</v>
      </c>
      <c r="GV45" s="356">
        <f t="shared" si="233"/>
        <v>0</v>
      </c>
      <c r="GW45" s="587" t="e">
        <f t="shared" si="234"/>
        <v>#NUM!</v>
      </c>
      <c r="GX45" s="362">
        <f t="shared" si="235"/>
        <v>0</v>
      </c>
      <c r="GY45" s="218" t="str">
        <f t="shared" si="236"/>
        <v>x</v>
      </c>
      <c r="GZ45" s="358">
        <f t="shared" si="237"/>
        <v>0</v>
      </c>
      <c r="HA45" s="358">
        <f t="shared" si="268"/>
        <v>0</v>
      </c>
      <c r="HB45" s="359">
        <f t="shared" si="238"/>
        <v>0</v>
      </c>
      <c r="HC45" s="360">
        <f t="shared" si="269"/>
        <v>0</v>
      </c>
      <c r="HD45" s="361" t="e">
        <f t="shared" si="270"/>
        <v>#NUM!</v>
      </c>
      <c r="HE45" s="362">
        <f t="shared" si="239"/>
        <v>0</v>
      </c>
      <c r="HF45" s="218" t="str">
        <f t="shared" si="149"/>
        <v>x</v>
      </c>
      <c r="HG45" s="358">
        <f t="shared" si="240"/>
        <v>0</v>
      </c>
      <c r="HH45" s="358">
        <f t="shared" si="241"/>
        <v>0</v>
      </c>
      <c r="HI45" s="359">
        <f t="shared" si="242"/>
        <v>0</v>
      </c>
      <c r="HJ45" s="360">
        <f t="shared" si="243"/>
        <v>0</v>
      </c>
      <c r="HK45" s="361" t="e">
        <f t="shared" si="150"/>
        <v>#NUM!</v>
      </c>
      <c r="HL45" s="362">
        <f t="shared" si="244"/>
        <v>0</v>
      </c>
      <c r="HM45" s="218" t="str">
        <f t="shared" si="151"/>
        <v>x</v>
      </c>
      <c r="HN45" s="358">
        <f t="shared" si="245"/>
        <v>0</v>
      </c>
      <c r="HO45" s="358">
        <f t="shared" si="246"/>
        <v>0</v>
      </c>
      <c r="HP45" s="359">
        <f t="shared" si="247"/>
        <v>0</v>
      </c>
      <c r="HQ45" s="360">
        <f t="shared" si="248"/>
        <v>0</v>
      </c>
      <c r="HR45" s="361" t="e">
        <f t="shared" si="152"/>
        <v>#NUM!</v>
      </c>
      <c r="HS45" s="362">
        <f t="shared" si="249"/>
        <v>0</v>
      </c>
      <c r="HT45" s="218" t="str">
        <f t="shared" si="250"/>
        <v>x</v>
      </c>
      <c r="HU45" s="358">
        <f t="shared" si="251"/>
        <v>0</v>
      </c>
      <c r="HV45" s="358">
        <f t="shared" si="252"/>
        <v>0</v>
      </c>
      <c r="HW45" s="359">
        <f t="shared" si="253"/>
        <v>0</v>
      </c>
      <c r="HX45" s="360">
        <f t="shared" si="271"/>
        <v>0</v>
      </c>
      <c r="HY45" s="361" t="e">
        <f t="shared" si="254"/>
        <v>#NUM!</v>
      </c>
      <c r="HZ45" s="362">
        <f t="shared" si="255"/>
        <v>0</v>
      </c>
      <c r="IA45" s="218" t="str">
        <f t="shared" si="256"/>
        <v>x</v>
      </c>
      <c r="IB45" s="358">
        <f t="shared" si="257"/>
        <v>0</v>
      </c>
      <c r="IC45" s="358">
        <f t="shared" si="258"/>
        <v>0</v>
      </c>
      <c r="ID45" s="359">
        <f t="shared" si="259"/>
        <v>0</v>
      </c>
      <c r="IE45" s="360">
        <f t="shared" si="272"/>
        <v>0</v>
      </c>
      <c r="IF45" s="361" t="e">
        <f t="shared" si="260"/>
        <v>#NUM!</v>
      </c>
      <c r="IG45" s="320"/>
      <c r="IH45" s="575">
        <f t="shared" si="273"/>
        <v>0</v>
      </c>
      <c r="II45" s="363">
        <f t="shared" si="153"/>
        <v>0</v>
      </c>
      <c r="IJ45" s="577"/>
      <c r="IK45" s="44"/>
      <c r="IL45" s="44"/>
      <c r="IM45" s="280">
        <f t="shared" si="262"/>
        <v>11</v>
      </c>
      <c r="IN45" s="341">
        <f t="shared" si="80"/>
        <v>0</v>
      </c>
      <c r="IO45" s="196" t="str">
        <f t="shared" si="154"/>
        <v xml:space="preserve"> </v>
      </c>
      <c r="IP45" s="342" t="str">
        <f t="shared" si="155"/>
        <v xml:space="preserve"> </v>
      </c>
      <c r="IQ45" s="280">
        <f t="shared" si="156"/>
        <v>0</v>
      </c>
      <c r="IR45" s="175">
        <f t="shared" si="81"/>
        <v>0</v>
      </c>
      <c r="IS45" s="280">
        <f t="shared" si="82"/>
        <v>1</v>
      </c>
      <c r="IT45" s="280">
        <f t="shared" si="83"/>
        <v>0</v>
      </c>
      <c r="IU45" s="280">
        <f t="shared" si="84"/>
        <v>0</v>
      </c>
      <c r="IV45" s="280">
        <f t="shared" si="85"/>
        <v>0</v>
      </c>
      <c r="IW45" s="280">
        <f t="shared" si="86"/>
        <v>0</v>
      </c>
      <c r="IX45" s="280">
        <f t="shared" si="87"/>
        <v>0</v>
      </c>
      <c r="IY45" s="280">
        <f t="shared" si="88"/>
        <v>0</v>
      </c>
      <c r="IZ45" s="280">
        <f t="shared" si="89"/>
        <v>0</v>
      </c>
      <c r="JA45" s="280">
        <f t="shared" si="90"/>
        <v>0</v>
      </c>
      <c r="JB45" s="280">
        <f t="shared" si="91"/>
        <v>0</v>
      </c>
      <c r="JC45" s="280">
        <f t="shared" si="92"/>
        <v>0</v>
      </c>
      <c r="JD45" s="280">
        <f t="shared" si="93"/>
        <v>0</v>
      </c>
      <c r="JE45" s="280">
        <f t="shared" si="94"/>
        <v>0</v>
      </c>
      <c r="JF45" s="280">
        <f t="shared" si="95"/>
        <v>0</v>
      </c>
      <c r="JG45" s="280">
        <f t="shared" si="96"/>
        <v>0</v>
      </c>
      <c r="JH45" s="280">
        <f t="shared" si="97"/>
        <v>0</v>
      </c>
      <c r="JI45" s="280">
        <f t="shared" si="98"/>
        <v>0</v>
      </c>
      <c r="JJ45" s="280">
        <f t="shared" si="99"/>
        <v>0</v>
      </c>
      <c r="JK45" s="280">
        <f t="shared" si="100"/>
        <v>0</v>
      </c>
      <c r="JL45" s="280">
        <f t="shared" si="101"/>
        <v>0</v>
      </c>
      <c r="JM45" s="280">
        <f t="shared" si="102"/>
        <v>0</v>
      </c>
      <c r="JN45" s="280">
        <f t="shared" si="103"/>
        <v>0</v>
      </c>
      <c r="JO45" s="280">
        <f t="shared" si="104"/>
        <v>0</v>
      </c>
      <c r="JP45" s="280">
        <f t="shared" si="105"/>
        <v>0</v>
      </c>
      <c r="JQ45" s="280">
        <f t="shared" si="106"/>
        <v>0</v>
      </c>
      <c r="JR45" s="280">
        <f t="shared" si="107"/>
        <v>0</v>
      </c>
      <c r="JS45" s="44">
        <f t="shared" si="157"/>
        <v>1</v>
      </c>
      <c r="JT45" s="343" t="str">
        <f t="shared" si="158"/>
        <v>F</v>
      </c>
      <c r="JU45" s="44"/>
      <c r="JV45" s="280">
        <f t="shared" si="159"/>
        <v>1</v>
      </c>
      <c r="JW45" s="280">
        <f t="shared" si="108"/>
        <v>0</v>
      </c>
      <c r="JX45" s="280">
        <f t="shared" si="109"/>
        <v>0</v>
      </c>
      <c r="JY45" s="280">
        <f t="shared" si="110"/>
        <v>0</v>
      </c>
      <c r="JZ45" s="280">
        <f t="shared" si="111"/>
        <v>0</v>
      </c>
      <c r="KA45" s="280">
        <f t="shared" si="112"/>
        <v>0</v>
      </c>
      <c r="KB45" s="44">
        <f t="shared" si="160"/>
        <v>1</v>
      </c>
      <c r="KC45" s="343" t="str">
        <f t="shared" si="161"/>
        <v>F</v>
      </c>
      <c r="KD45" s="280"/>
      <c r="KE45" s="280"/>
      <c r="KF45" s="280"/>
      <c r="KG45" s="280"/>
      <c r="KH45" s="280"/>
      <c r="KI45" s="280"/>
      <c r="KJ45" s="280"/>
      <c r="KK45" s="280"/>
      <c r="KO45" s="8"/>
      <c r="KR45" s="282"/>
      <c r="KW45" s="344"/>
      <c r="KX45" s="81"/>
      <c r="KY45" s="378"/>
      <c r="KZ45" s="268"/>
      <c r="LB45" s="345">
        <v>9</v>
      </c>
      <c r="LC45" s="204" t="s">
        <v>830</v>
      </c>
      <c r="LD45" s="169" t="s">
        <v>16</v>
      </c>
      <c r="LE45" s="347" t="s">
        <v>838</v>
      </c>
      <c r="LF45" s="169"/>
      <c r="LG45" s="169"/>
      <c r="LH45" s="169"/>
      <c r="LI45" s="169"/>
      <c r="LJ45" s="169"/>
      <c r="LK45" s="169"/>
      <c r="LL45" s="169"/>
      <c r="LM45" s="169"/>
      <c r="LN45" s="348"/>
    </row>
    <row r="46" spans="19:333" ht="16.149999999999999" customHeight="1" x14ac:dyDescent="0.25">
      <c r="S46" s="653"/>
      <c r="T46" s="1531"/>
      <c r="U46" s="1504" t="str">
        <f t="shared" si="63"/>
        <v/>
      </c>
      <c r="V46" s="1505"/>
      <c r="W46" s="1506"/>
      <c r="X46" s="817"/>
      <c r="Y46" s="862"/>
      <c r="Z46" s="1114" t="str">
        <f t="shared" si="64"/>
        <v xml:space="preserve"> </v>
      </c>
      <c r="AA46" s="276"/>
      <c r="AB46" s="1504" t="str">
        <f t="shared" si="65"/>
        <v/>
      </c>
      <c r="AC46" s="1505"/>
      <c r="AD46" s="1506"/>
      <c r="AE46" s="817"/>
      <c r="AF46" s="862"/>
      <c r="AG46" s="554" t="str">
        <f t="shared" si="66"/>
        <v xml:space="preserve"> </v>
      </c>
      <c r="AH46" s="276"/>
      <c r="AI46" s="1504" t="str">
        <f t="shared" si="276"/>
        <v/>
      </c>
      <c r="AJ46" s="1505"/>
      <c r="AK46" s="1506"/>
      <c r="AL46" s="817"/>
      <c r="AM46" s="818"/>
      <c r="AN46" s="1114" t="str">
        <f t="shared" ref="AN46" si="277">IP70</f>
        <v xml:space="preserve"> </v>
      </c>
      <c r="AO46" s="348"/>
      <c r="AP46" s="719"/>
      <c r="AQ46" s="719"/>
      <c r="AR46" s="285"/>
      <c r="AS46" s="720"/>
      <c r="AT46" s="719"/>
      <c r="AU46" s="126"/>
      <c r="AV46" s="126"/>
      <c r="AW46" s="653"/>
      <c r="AX46" s="78">
        <f t="shared" si="68"/>
        <v>0</v>
      </c>
      <c r="AY46" s="78">
        <f t="shared" si="69"/>
        <v>0</v>
      </c>
      <c r="AZ46" s="78">
        <f t="shared" si="70"/>
        <v>0</v>
      </c>
      <c r="BA46" s="78">
        <f t="shared" si="71"/>
        <v>0</v>
      </c>
      <c r="BB46" s="78">
        <f t="shared" si="72"/>
        <v>0</v>
      </c>
      <c r="BC46" s="78">
        <f t="shared" si="73"/>
        <v>0</v>
      </c>
      <c r="BD46" s="78">
        <f t="shared" si="74"/>
        <v>0</v>
      </c>
      <c r="BE46" s="78">
        <f t="shared" si="75"/>
        <v>0</v>
      </c>
      <c r="BF46" s="78">
        <f t="shared" si="76"/>
        <v>0</v>
      </c>
      <c r="BG46" s="78">
        <f t="shared" si="77"/>
        <v>0</v>
      </c>
      <c r="BH46" s="78">
        <f t="shared" si="78"/>
        <v>0</v>
      </c>
      <c r="BI46" s="78">
        <f t="shared" si="79"/>
        <v>0</v>
      </c>
      <c r="BJ46" s="78">
        <f t="shared" si="113"/>
        <v>0</v>
      </c>
      <c r="BK46" s="78">
        <f t="shared" si="114"/>
        <v>0</v>
      </c>
      <c r="BV46" s="81"/>
      <c r="BW46" s="81"/>
      <c r="BX46" s="81"/>
      <c r="BY46" s="81"/>
      <c r="BZ46" s="81">
        <f t="shared" si="263"/>
        <v>11</v>
      </c>
      <c r="CA46" s="368">
        <v>1.0100000000000003E-3</v>
      </c>
      <c r="CB46" s="351">
        <f t="shared" si="162"/>
        <v>0</v>
      </c>
      <c r="CC46" s="537" t="str">
        <f t="shared" ref="CC46:CC47" si="278">IF(CB46=1,(CB27+CA46),"X")</f>
        <v>X</v>
      </c>
      <c r="CD46" s="251" t="str">
        <f t="shared" si="116"/>
        <v>X</v>
      </c>
      <c r="CE46" s="251" t="e">
        <f t="shared" si="163"/>
        <v>#VALUE!</v>
      </c>
      <c r="CF46" s="352">
        <f t="shared" si="164"/>
        <v>1</v>
      </c>
      <c r="CG46" s="353" t="e">
        <f t="shared" si="165"/>
        <v>#NUM!</v>
      </c>
      <c r="CH46" s="354" t="e">
        <f t="shared" si="166"/>
        <v>#NUM!</v>
      </c>
      <c r="CI46" s="355">
        <f t="shared" si="167"/>
        <v>0</v>
      </c>
      <c r="CJ46" s="251" t="e">
        <f t="shared" si="168"/>
        <v>#NUM!</v>
      </c>
      <c r="CK46" s="218">
        <f>CI46+CK47</f>
        <v>0</v>
      </c>
      <c r="CL46" s="356">
        <f t="shared" si="170"/>
        <v>0</v>
      </c>
      <c r="CM46" s="357" t="e">
        <f t="shared" si="171"/>
        <v>#NUM!</v>
      </c>
      <c r="CN46" s="218">
        <f t="shared" si="172"/>
        <v>0</v>
      </c>
      <c r="CO46" s="218" t="str">
        <f t="shared" si="173"/>
        <v>x</v>
      </c>
      <c r="CP46" s="358">
        <f t="shared" si="174"/>
        <v>0</v>
      </c>
      <c r="CQ46" s="358">
        <f>CP46+CQ47</f>
        <v>0</v>
      </c>
      <c r="CR46" s="359">
        <f t="shared" si="176"/>
        <v>0</v>
      </c>
      <c r="CS46" s="360">
        <f t="shared" si="177"/>
        <v>0</v>
      </c>
      <c r="CT46" s="361" t="e">
        <f t="shared" si="264"/>
        <v>#NUM!</v>
      </c>
      <c r="CU46" s="362">
        <f t="shared" si="178"/>
        <v>0</v>
      </c>
      <c r="CV46" s="218" t="str">
        <f t="shared" si="179"/>
        <v>x</v>
      </c>
      <c r="CW46" s="358">
        <f t="shared" si="180"/>
        <v>0</v>
      </c>
      <c r="CX46" s="358">
        <f>CW46+CX47</f>
        <v>0</v>
      </c>
      <c r="CY46" s="359">
        <f t="shared" si="265"/>
        <v>0</v>
      </c>
      <c r="CZ46" s="360">
        <f t="shared" si="182"/>
        <v>0</v>
      </c>
      <c r="DA46" s="361" t="e">
        <f t="shared" si="274"/>
        <v>#NUM!</v>
      </c>
      <c r="DB46" s="362">
        <f t="shared" si="183"/>
        <v>0</v>
      </c>
      <c r="DC46" s="218" t="str">
        <f t="shared" si="184"/>
        <v>x</v>
      </c>
      <c r="DD46" s="358">
        <f t="shared" si="185"/>
        <v>0</v>
      </c>
      <c r="DE46" s="358">
        <f>DD46+DE47</f>
        <v>0</v>
      </c>
      <c r="DF46" s="359">
        <f t="shared" si="187"/>
        <v>0</v>
      </c>
      <c r="DG46" s="360">
        <f t="shared" si="188"/>
        <v>0</v>
      </c>
      <c r="DH46" s="361" t="e">
        <f t="shared" si="189"/>
        <v>#NUM!</v>
      </c>
      <c r="DI46" s="362">
        <f t="shared" si="190"/>
        <v>0</v>
      </c>
      <c r="DJ46" s="218" t="str">
        <f t="shared" si="191"/>
        <v>x</v>
      </c>
      <c r="DK46" s="358">
        <f t="shared" si="192"/>
        <v>0</v>
      </c>
      <c r="DL46" s="358">
        <f>DK46+DL47</f>
        <v>0</v>
      </c>
      <c r="DM46" s="359">
        <f t="shared" si="194"/>
        <v>0</v>
      </c>
      <c r="DN46" s="360">
        <f t="shared" si="195"/>
        <v>0</v>
      </c>
      <c r="DO46" s="361" t="e">
        <f t="shared" si="196"/>
        <v>#NUM!</v>
      </c>
      <c r="DP46" s="361"/>
      <c r="DQ46" s="361">
        <f t="shared" si="266"/>
        <v>11</v>
      </c>
      <c r="DR46" s="368">
        <v>1.0100000000000003E-3</v>
      </c>
      <c r="DS46" s="351">
        <f t="shared" si="197"/>
        <v>0</v>
      </c>
      <c r="DT46" s="537" t="str">
        <f>IF(DS46=1,(DS25+DR46),"X")</f>
        <v>X</v>
      </c>
      <c r="DU46" s="251" t="str">
        <f t="shared" si="118"/>
        <v>X</v>
      </c>
      <c r="DV46" s="251" t="e">
        <f t="shared" si="198"/>
        <v>#VALUE!</v>
      </c>
      <c r="DW46" s="352">
        <f t="shared" si="275"/>
        <v>1</v>
      </c>
      <c r="DX46" s="354" t="e">
        <f t="shared" si="199"/>
        <v>#NUM!</v>
      </c>
      <c r="DY46" s="354" t="e">
        <f t="shared" si="267"/>
        <v>#NUM!</v>
      </c>
      <c r="DZ46" s="355">
        <f>IF(DS46=1,DY46,0)</f>
        <v>0</v>
      </c>
      <c r="EA46" s="251" t="e">
        <f t="shared" si="201"/>
        <v>#NUM!</v>
      </c>
      <c r="EB46" s="218">
        <f>DZ46+EB47</f>
        <v>0</v>
      </c>
      <c r="EC46" s="356">
        <f t="shared" si="203"/>
        <v>0</v>
      </c>
      <c r="ED46" s="587" t="e">
        <f t="shared" si="204"/>
        <v>#NUM!</v>
      </c>
      <c r="EE46" s="362">
        <f t="shared" si="119"/>
        <v>0</v>
      </c>
      <c r="EF46" s="218" t="str">
        <f t="shared" si="120"/>
        <v>x</v>
      </c>
      <c r="EG46" s="608">
        <f t="shared" si="121"/>
        <v>0</v>
      </c>
      <c r="EH46" s="608">
        <f t="shared" si="122"/>
        <v>0</v>
      </c>
      <c r="EI46" s="359">
        <f>IF(EH46=1,EE49,0)</f>
        <v>0</v>
      </c>
      <c r="EJ46" s="360">
        <f t="shared" si="123"/>
        <v>0</v>
      </c>
      <c r="EK46" s="361" t="e">
        <f t="shared" si="124"/>
        <v>#NUM!</v>
      </c>
      <c r="EL46" s="362">
        <f t="shared" si="125"/>
        <v>0</v>
      </c>
      <c r="EM46" s="218" t="str">
        <f t="shared" si="126"/>
        <v>x</v>
      </c>
      <c r="EN46" s="358">
        <f t="shared" si="205"/>
        <v>0</v>
      </c>
      <c r="EO46" s="358">
        <f>EN46+EO47</f>
        <v>0</v>
      </c>
      <c r="EP46" s="359">
        <f>IF(EO46=1,EL49,0)</f>
        <v>0</v>
      </c>
      <c r="EQ46" s="360">
        <f t="shared" si="207"/>
        <v>0</v>
      </c>
      <c r="ER46" s="361" t="e">
        <f t="shared" si="127"/>
        <v>#NUM!</v>
      </c>
      <c r="ES46" s="362">
        <f t="shared" si="128"/>
        <v>0</v>
      </c>
      <c r="ET46" s="218" t="str">
        <f t="shared" si="129"/>
        <v>x</v>
      </c>
      <c r="EU46" s="358">
        <f t="shared" si="208"/>
        <v>0</v>
      </c>
      <c r="EV46" s="358">
        <f>EU46+EV47</f>
        <v>0</v>
      </c>
      <c r="EW46" s="359">
        <f>IF(EV46=1,ES49,0)</f>
        <v>0</v>
      </c>
      <c r="EX46" s="360">
        <f t="shared" si="210"/>
        <v>0</v>
      </c>
      <c r="EY46" s="361" t="e">
        <f t="shared" si="130"/>
        <v>#NUM!</v>
      </c>
      <c r="EZ46" s="362">
        <f t="shared" si="131"/>
        <v>0</v>
      </c>
      <c r="FA46" s="218" t="str">
        <f t="shared" si="132"/>
        <v>x</v>
      </c>
      <c r="FB46" s="358">
        <f t="shared" si="211"/>
        <v>0</v>
      </c>
      <c r="FC46" s="358">
        <f>FB46+FC47</f>
        <v>0</v>
      </c>
      <c r="FD46" s="359">
        <f>IF(FC46=1,EZ49,0)</f>
        <v>0</v>
      </c>
      <c r="FE46" s="360">
        <f t="shared" si="213"/>
        <v>0</v>
      </c>
      <c r="FF46" s="361" t="e">
        <f t="shared" si="133"/>
        <v>#NUM!</v>
      </c>
      <c r="FG46" s="362">
        <f t="shared" si="134"/>
        <v>0</v>
      </c>
      <c r="FH46" s="218" t="str">
        <f t="shared" si="135"/>
        <v>x</v>
      </c>
      <c r="FI46" s="358">
        <f t="shared" si="214"/>
        <v>0</v>
      </c>
      <c r="FJ46" s="358">
        <f>FI46+FJ47</f>
        <v>0</v>
      </c>
      <c r="FK46" s="359">
        <f>IF(FJ46=1,FG49,0)</f>
        <v>0</v>
      </c>
      <c r="FL46" s="360">
        <f t="shared" si="216"/>
        <v>0</v>
      </c>
      <c r="FM46" s="361" t="e">
        <f t="shared" si="136"/>
        <v>#NUM!</v>
      </c>
      <c r="FN46" s="362">
        <f t="shared" si="137"/>
        <v>0</v>
      </c>
      <c r="FO46" s="218" t="str">
        <f t="shared" si="138"/>
        <v>x</v>
      </c>
      <c r="FP46" s="358">
        <f t="shared" si="217"/>
        <v>0</v>
      </c>
      <c r="FQ46" s="358">
        <f>FP46+FQ47</f>
        <v>0</v>
      </c>
      <c r="FR46" s="359">
        <f>IF(FQ46=1,FN49,0)</f>
        <v>0</v>
      </c>
      <c r="FS46" s="360">
        <f t="shared" si="219"/>
        <v>0</v>
      </c>
      <c r="FT46" s="361" t="e">
        <f t="shared" si="139"/>
        <v>#NUM!</v>
      </c>
      <c r="FU46" s="362">
        <f t="shared" si="140"/>
        <v>0</v>
      </c>
      <c r="FV46" s="218" t="str">
        <f t="shared" si="141"/>
        <v>x</v>
      </c>
      <c r="FW46" s="358">
        <f t="shared" si="220"/>
        <v>0</v>
      </c>
      <c r="FX46" s="358">
        <f>FW46+FX47</f>
        <v>0</v>
      </c>
      <c r="FY46" s="359">
        <f>IF(FX46=1,FU49,0)</f>
        <v>0</v>
      </c>
      <c r="FZ46" s="360">
        <f t="shared" si="222"/>
        <v>0</v>
      </c>
      <c r="GA46" s="361" t="e">
        <f t="shared" si="142"/>
        <v>#NUM!</v>
      </c>
      <c r="GB46" s="362">
        <f t="shared" si="143"/>
        <v>0</v>
      </c>
      <c r="GC46" s="218" t="str">
        <f t="shared" si="144"/>
        <v>x</v>
      </c>
      <c r="GD46" s="358">
        <f t="shared" si="223"/>
        <v>0</v>
      </c>
      <c r="GE46" s="358">
        <f>GD46+GE47</f>
        <v>0</v>
      </c>
      <c r="GF46" s="359">
        <f>IF(GE46=1,GB49,0)</f>
        <v>0</v>
      </c>
      <c r="GG46" s="360">
        <f t="shared" si="225"/>
        <v>0</v>
      </c>
      <c r="GH46" s="361" t="e">
        <f t="shared" si="145"/>
        <v>#NUM!</v>
      </c>
      <c r="GI46" s="361"/>
      <c r="GJ46" s="361"/>
      <c r="GK46" s="368">
        <v>1.0100000000000003E-3</v>
      </c>
      <c r="GL46" s="351">
        <f t="shared" si="146"/>
        <v>0</v>
      </c>
      <c r="GM46" s="537" t="str">
        <f>IF(GL46=1,(GL25+GK46),"X")</f>
        <v>X</v>
      </c>
      <c r="GN46" s="251" t="str">
        <f t="shared" si="148"/>
        <v>X</v>
      </c>
      <c r="GO46" s="251" t="e">
        <f t="shared" si="226"/>
        <v>#VALUE!</v>
      </c>
      <c r="GP46" s="352">
        <f t="shared" si="227"/>
        <v>1</v>
      </c>
      <c r="GQ46" s="354" t="e">
        <f t="shared" si="228"/>
        <v>#NUM!</v>
      </c>
      <c r="GR46" s="354" t="e">
        <f t="shared" si="229"/>
        <v>#NUM!</v>
      </c>
      <c r="GS46" s="355">
        <f t="shared" si="230"/>
        <v>0</v>
      </c>
      <c r="GT46" s="251" t="e">
        <f t="shared" si="231"/>
        <v>#NUM!</v>
      </c>
      <c r="GU46" s="218">
        <f>GS46+GU47</f>
        <v>0</v>
      </c>
      <c r="GV46" s="356">
        <f t="shared" si="233"/>
        <v>0</v>
      </c>
      <c r="GW46" s="587" t="e">
        <f t="shared" si="234"/>
        <v>#NUM!</v>
      </c>
      <c r="GX46" s="362">
        <f t="shared" si="235"/>
        <v>0</v>
      </c>
      <c r="GY46" s="218" t="str">
        <f t="shared" si="236"/>
        <v>x</v>
      </c>
      <c r="GZ46" s="358">
        <f t="shared" si="237"/>
        <v>0</v>
      </c>
      <c r="HA46" s="358">
        <f>GZ46+HA47</f>
        <v>0</v>
      </c>
      <c r="HB46" s="359">
        <f t="shared" si="238"/>
        <v>0</v>
      </c>
      <c r="HC46" s="360">
        <f t="shared" si="269"/>
        <v>0</v>
      </c>
      <c r="HD46" s="361" t="e">
        <f t="shared" si="270"/>
        <v>#NUM!</v>
      </c>
      <c r="HE46" s="362">
        <f t="shared" si="239"/>
        <v>0</v>
      </c>
      <c r="HF46" s="218" t="str">
        <f t="shared" si="149"/>
        <v>x</v>
      </c>
      <c r="HG46" s="358">
        <f t="shared" si="240"/>
        <v>0</v>
      </c>
      <c r="HH46" s="358">
        <f>HG46+HH47</f>
        <v>0</v>
      </c>
      <c r="HI46" s="359">
        <f t="shared" si="242"/>
        <v>0</v>
      </c>
      <c r="HJ46" s="360">
        <f t="shared" si="243"/>
        <v>0</v>
      </c>
      <c r="HK46" s="361" t="e">
        <f t="shared" si="150"/>
        <v>#NUM!</v>
      </c>
      <c r="HL46" s="362">
        <f t="shared" si="244"/>
        <v>0</v>
      </c>
      <c r="HM46" s="218" t="str">
        <f t="shared" si="151"/>
        <v>x</v>
      </c>
      <c r="HN46" s="358">
        <f t="shared" si="245"/>
        <v>0</v>
      </c>
      <c r="HO46" s="358">
        <f>HN46+HO47</f>
        <v>0</v>
      </c>
      <c r="HP46" s="359">
        <f t="shared" si="247"/>
        <v>0</v>
      </c>
      <c r="HQ46" s="360">
        <f t="shared" si="248"/>
        <v>0</v>
      </c>
      <c r="HR46" s="361" t="e">
        <f t="shared" si="152"/>
        <v>#NUM!</v>
      </c>
      <c r="HS46" s="362">
        <f t="shared" si="249"/>
        <v>0</v>
      </c>
      <c r="HT46" s="218" t="str">
        <f t="shared" si="250"/>
        <v>x</v>
      </c>
      <c r="HU46" s="358">
        <f t="shared" si="251"/>
        <v>0</v>
      </c>
      <c r="HV46" s="358">
        <f>HU46+HV47</f>
        <v>0</v>
      </c>
      <c r="HW46" s="359">
        <f t="shared" si="253"/>
        <v>0</v>
      </c>
      <c r="HX46" s="360">
        <f t="shared" si="271"/>
        <v>0</v>
      </c>
      <c r="HY46" s="361" t="e">
        <f t="shared" si="254"/>
        <v>#NUM!</v>
      </c>
      <c r="HZ46" s="362">
        <f t="shared" si="255"/>
        <v>0</v>
      </c>
      <c r="IA46" s="218" t="str">
        <f t="shared" si="256"/>
        <v>x</v>
      </c>
      <c r="IB46" s="358">
        <f t="shared" si="257"/>
        <v>0</v>
      </c>
      <c r="IC46" s="358">
        <f>IB46+IC47</f>
        <v>0</v>
      </c>
      <c r="ID46" s="359">
        <f t="shared" si="259"/>
        <v>0</v>
      </c>
      <c r="IE46" s="360">
        <f t="shared" si="272"/>
        <v>0</v>
      </c>
      <c r="IF46" s="361" t="e">
        <f t="shared" si="260"/>
        <v>#NUM!</v>
      </c>
      <c r="IG46" s="320"/>
      <c r="IH46" s="575">
        <f t="shared" si="273"/>
        <v>0</v>
      </c>
      <c r="II46" s="363">
        <f t="shared" si="153"/>
        <v>0</v>
      </c>
      <c r="IJ46" s="577"/>
      <c r="IK46" s="44"/>
      <c r="IL46" s="381">
        <f>SUM(IQ35:IQ46)</f>
        <v>0</v>
      </c>
      <c r="IM46" s="280">
        <f t="shared" si="262"/>
        <v>12</v>
      </c>
      <c r="IN46" s="341">
        <f t="shared" si="80"/>
        <v>0</v>
      </c>
      <c r="IO46" s="196" t="str">
        <f t="shared" si="154"/>
        <v xml:space="preserve"> </v>
      </c>
      <c r="IP46" s="342" t="str">
        <f t="shared" si="155"/>
        <v xml:space="preserve"> </v>
      </c>
      <c r="IQ46" s="280">
        <f t="shared" si="156"/>
        <v>0</v>
      </c>
      <c r="IR46" s="175">
        <f t="shared" si="81"/>
        <v>0</v>
      </c>
      <c r="IS46" s="280">
        <f t="shared" si="82"/>
        <v>1</v>
      </c>
      <c r="IT46" s="280">
        <f t="shared" si="83"/>
        <v>0</v>
      </c>
      <c r="IU46" s="280">
        <f t="shared" si="84"/>
        <v>0</v>
      </c>
      <c r="IV46" s="280">
        <f t="shared" si="85"/>
        <v>0</v>
      </c>
      <c r="IW46" s="280">
        <f t="shared" si="86"/>
        <v>0</v>
      </c>
      <c r="IX46" s="280">
        <f t="shared" si="87"/>
        <v>0</v>
      </c>
      <c r="IY46" s="280">
        <f t="shared" si="88"/>
        <v>0</v>
      </c>
      <c r="IZ46" s="280">
        <f t="shared" si="89"/>
        <v>0</v>
      </c>
      <c r="JA46" s="280">
        <f t="shared" si="90"/>
        <v>0</v>
      </c>
      <c r="JB46" s="280">
        <f t="shared" si="91"/>
        <v>0</v>
      </c>
      <c r="JC46" s="280">
        <f t="shared" si="92"/>
        <v>0</v>
      </c>
      <c r="JD46" s="280">
        <f t="shared" si="93"/>
        <v>0</v>
      </c>
      <c r="JE46" s="280">
        <f t="shared" si="94"/>
        <v>0</v>
      </c>
      <c r="JF46" s="280">
        <f t="shared" si="95"/>
        <v>0</v>
      </c>
      <c r="JG46" s="280">
        <f t="shared" si="96"/>
        <v>0</v>
      </c>
      <c r="JH46" s="280">
        <f t="shared" si="97"/>
        <v>0</v>
      </c>
      <c r="JI46" s="280">
        <f t="shared" si="98"/>
        <v>0</v>
      </c>
      <c r="JJ46" s="280">
        <f t="shared" si="99"/>
        <v>0</v>
      </c>
      <c r="JK46" s="280">
        <f t="shared" si="100"/>
        <v>0</v>
      </c>
      <c r="JL46" s="280">
        <f t="shared" si="101"/>
        <v>0</v>
      </c>
      <c r="JM46" s="280">
        <f t="shared" si="102"/>
        <v>0</v>
      </c>
      <c r="JN46" s="280">
        <f t="shared" si="103"/>
        <v>0</v>
      </c>
      <c r="JO46" s="280">
        <f t="shared" si="104"/>
        <v>0</v>
      </c>
      <c r="JP46" s="280">
        <f t="shared" si="105"/>
        <v>0</v>
      </c>
      <c r="JQ46" s="280">
        <f t="shared" si="106"/>
        <v>0</v>
      </c>
      <c r="JR46" s="280">
        <f t="shared" si="107"/>
        <v>0</v>
      </c>
      <c r="JS46" s="44">
        <f t="shared" si="157"/>
        <v>1</v>
      </c>
      <c r="JT46" s="343" t="str">
        <f t="shared" si="158"/>
        <v>F</v>
      </c>
      <c r="JU46" s="44"/>
      <c r="JV46" s="280">
        <f t="shared" si="159"/>
        <v>1</v>
      </c>
      <c r="JW46" s="280">
        <f t="shared" si="108"/>
        <v>0</v>
      </c>
      <c r="JX46" s="280">
        <f t="shared" si="109"/>
        <v>0</v>
      </c>
      <c r="JY46" s="280">
        <f t="shared" si="110"/>
        <v>0</v>
      </c>
      <c r="JZ46" s="280">
        <f t="shared" si="111"/>
        <v>0</v>
      </c>
      <c r="KA46" s="280">
        <f t="shared" si="112"/>
        <v>0</v>
      </c>
      <c r="KB46" s="44">
        <f t="shared" si="160"/>
        <v>1</v>
      </c>
      <c r="KC46" s="343" t="str">
        <f t="shared" si="161"/>
        <v>F</v>
      </c>
      <c r="KD46" s="280"/>
      <c r="KE46" s="280"/>
      <c r="KF46" s="280"/>
      <c r="KG46" s="280"/>
      <c r="KH46" s="280"/>
      <c r="KI46" s="280"/>
      <c r="KJ46" s="280"/>
      <c r="KK46" s="280"/>
      <c r="KO46" s="8"/>
      <c r="KR46" s="282"/>
      <c r="KW46" s="344"/>
      <c r="KX46" s="81"/>
      <c r="KY46" s="378"/>
      <c r="KZ46" s="268"/>
      <c r="LB46" s="345">
        <v>10</v>
      </c>
      <c r="LC46" s="204" t="s">
        <v>830</v>
      </c>
      <c r="LD46" s="169" t="s">
        <v>18</v>
      </c>
      <c r="LE46" s="347" t="s">
        <v>839</v>
      </c>
      <c r="LF46" s="169"/>
      <c r="LG46" s="169"/>
      <c r="LH46" s="169"/>
      <c r="LI46" s="169"/>
      <c r="LJ46" s="169"/>
      <c r="LK46" s="169"/>
      <c r="LL46" s="169"/>
      <c r="LM46" s="169"/>
      <c r="LN46" s="348"/>
    </row>
    <row r="47" spans="19:333" ht="16.149999999999999" customHeight="1" thickBot="1" x14ac:dyDescent="0.3">
      <c r="S47" s="798"/>
      <c r="T47" s="1531"/>
      <c r="U47" s="1507" t="s">
        <v>840</v>
      </c>
      <c r="V47" s="1507"/>
      <c r="W47" s="1507"/>
      <c r="X47" s="1117">
        <f>SUM(X35:X46)</f>
        <v>0</v>
      </c>
      <c r="Y47" s="887" t="str">
        <f>AX47</f>
        <v xml:space="preserve"> </v>
      </c>
      <c r="Z47" s="382"/>
      <c r="AA47" s="276"/>
      <c r="AB47" s="1507" t="s">
        <v>840</v>
      </c>
      <c r="AC47" s="1507"/>
      <c r="AD47" s="1507"/>
      <c r="AE47" s="1117">
        <f>SUM(AE35:AE46)</f>
        <v>0</v>
      </c>
      <c r="AF47" s="887" t="str">
        <f>AY47</f>
        <v xml:space="preserve"> </v>
      </c>
      <c r="AG47" s="801"/>
      <c r="AH47" s="276"/>
      <c r="AI47" s="1507" t="s">
        <v>840</v>
      </c>
      <c r="AJ47" s="1507"/>
      <c r="AK47" s="1507"/>
      <c r="AL47" s="1117">
        <f>SUM(AL35:AL46)</f>
        <v>0</v>
      </c>
      <c r="AM47" s="887" t="str">
        <f>AZ47</f>
        <v xml:space="preserve"> </v>
      </c>
      <c r="AN47" s="276"/>
      <c r="AO47" s="348"/>
      <c r="AP47" s="719"/>
      <c r="AQ47" s="719"/>
      <c r="AR47" s="285"/>
      <c r="AS47" s="720"/>
      <c r="AT47" s="719"/>
      <c r="AU47" s="126"/>
      <c r="AV47" s="126"/>
      <c r="AW47" s="653"/>
      <c r="AX47" s="383" t="str">
        <f>IF(X47=120,"P"," ")</f>
        <v xml:space="preserve"> </v>
      </c>
      <c r="AY47" s="383" t="str">
        <f>IF(AE47=120,"P"," ")</f>
        <v xml:space="preserve"> </v>
      </c>
      <c r="AZ47" s="383" t="str">
        <f>IF(AL47=120,"P"," ")</f>
        <v xml:space="preserve"> </v>
      </c>
      <c r="BA47" s="384"/>
      <c r="BB47" s="384"/>
      <c r="BC47" s="384"/>
      <c r="BD47" s="384"/>
      <c r="BE47" s="384"/>
      <c r="BF47" s="384"/>
      <c r="BG47" s="384"/>
      <c r="BH47" s="384"/>
      <c r="BI47" s="384"/>
      <c r="BR47" s="81"/>
      <c r="BS47" s="81"/>
      <c r="BT47" s="81"/>
      <c r="BU47" s="81"/>
      <c r="BV47" s="81"/>
      <c r="BW47" s="81"/>
      <c r="BX47" s="81"/>
      <c r="BY47" s="81"/>
      <c r="BZ47" s="81">
        <f t="shared" si="263"/>
        <v>12</v>
      </c>
      <c r="CA47" s="368">
        <v>1.1100000000000003E-3</v>
      </c>
      <c r="CB47" s="351">
        <f t="shared" si="162"/>
        <v>0</v>
      </c>
      <c r="CC47" s="537" t="str">
        <f t="shared" si="278"/>
        <v>X</v>
      </c>
      <c r="CD47" s="251" t="str">
        <f t="shared" si="116"/>
        <v>X</v>
      </c>
      <c r="CE47" s="251" t="e">
        <f t="shared" si="163"/>
        <v>#VALUE!</v>
      </c>
      <c r="CF47" s="352">
        <f t="shared" si="164"/>
        <v>1</v>
      </c>
      <c r="CG47" s="353" t="e">
        <f t="shared" si="165"/>
        <v>#NUM!</v>
      </c>
      <c r="CH47" s="354" t="e">
        <f t="shared" si="166"/>
        <v>#NUM!</v>
      </c>
      <c r="CI47" s="355">
        <f t="shared" si="167"/>
        <v>0</v>
      </c>
      <c r="CJ47" s="251" t="e">
        <f t="shared" si="168"/>
        <v>#NUM!</v>
      </c>
      <c r="CK47" s="218">
        <f>CI47</f>
        <v>0</v>
      </c>
      <c r="CL47" s="356">
        <f t="shared" si="170"/>
        <v>0</v>
      </c>
      <c r="CM47" s="620" t="e">
        <f t="shared" si="171"/>
        <v>#NUM!</v>
      </c>
      <c r="CN47" s="218">
        <f t="shared" si="172"/>
        <v>0</v>
      </c>
      <c r="CO47" s="218" t="str">
        <f t="shared" si="173"/>
        <v>x</v>
      </c>
      <c r="CP47" s="358">
        <f t="shared" si="174"/>
        <v>0</v>
      </c>
      <c r="CQ47" s="358">
        <f>CP47</f>
        <v>0</v>
      </c>
      <c r="CR47" s="359">
        <f t="shared" si="176"/>
        <v>0</v>
      </c>
      <c r="CS47" s="360">
        <f t="shared" si="177"/>
        <v>0</v>
      </c>
      <c r="CT47" s="361" t="e">
        <f t="shared" si="264"/>
        <v>#NUM!</v>
      </c>
      <c r="CU47" s="362">
        <f t="shared" si="178"/>
        <v>0</v>
      </c>
      <c r="CV47" s="218" t="str">
        <f t="shared" si="179"/>
        <v>x</v>
      </c>
      <c r="CW47" s="358">
        <f t="shared" si="180"/>
        <v>0</v>
      </c>
      <c r="CX47" s="358">
        <f>CW47</f>
        <v>0</v>
      </c>
      <c r="CY47" s="359">
        <f t="shared" si="265"/>
        <v>0</v>
      </c>
      <c r="CZ47" s="360">
        <f t="shared" si="182"/>
        <v>0</v>
      </c>
      <c r="DA47" s="361" t="e">
        <f t="shared" si="274"/>
        <v>#NUM!</v>
      </c>
      <c r="DB47" s="362">
        <f t="shared" si="183"/>
        <v>0</v>
      </c>
      <c r="DC47" s="218" t="str">
        <f t="shared" si="184"/>
        <v>x</v>
      </c>
      <c r="DD47" s="358">
        <f t="shared" si="185"/>
        <v>0</v>
      </c>
      <c r="DE47" s="358">
        <f>DD47</f>
        <v>0</v>
      </c>
      <c r="DF47" s="359">
        <f t="shared" si="187"/>
        <v>0</v>
      </c>
      <c r="DG47" s="360">
        <f t="shared" si="188"/>
        <v>0</v>
      </c>
      <c r="DH47" s="361" t="e">
        <f t="shared" si="189"/>
        <v>#NUM!</v>
      </c>
      <c r="DI47" s="362">
        <f t="shared" si="190"/>
        <v>0</v>
      </c>
      <c r="DJ47" s="218" t="str">
        <f t="shared" si="191"/>
        <v>x</v>
      </c>
      <c r="DK47" s="358">
        <f t="shared" si="192"/>
        <v>0</v>
      </c>
      <c r="DL47" s="358">
        <f>DK47</f>
        <v>0</v>
      </c>
      <c r="DM47" s="359">
        <f t="shared" si="194"/>
        <v>0</v>
      </c>
      <c r="DN47" s="360">
        <f t="shared" si="195"/>
        <v>0</v>
      </c>
      <c r="DO47" s="361" t="e">
        <f t="shared" si="196"/>
        <v>#NUM!</v>
      </c>
      <c r="DP47" s="361"/>
      <c r="DQ47" s="361">
        <f t="shared" si="266"/>
        <v>12</v>
      </c>
      <c r="DR47" s="368">
        <v>1.1100000000000003E-3</v>
      </c>
      <c r="DS47" s="351">
        <f t="shared" si="197"/>
        <v>0</v>
      </c>
      <c r="DT47" s="537" t="str">
        <f>IF(DS47=1,(DS26+DR47),"X")</f>
        <v>X</v>
      </c>
      <c r="DU47" s="251" t="str">
        <f t="shared" si="118"/>
        <v>X</v>
      </c>
      <c r="DV47" s="251" t="e">
        <f t="shared" si="198"/>
        <v>#VALUE!</v>
      </c>
      <c r="DW47" s="352">
        <f>DW46+DS47</f>
        <v>1</v>
      </c>
      <c r="DX47" s="354" t="e">
        <f>SMALL($DT$36:$DT$47,DW47)</f>
        <v>#NUM!</v>
      </c>
      <c r="DY47" s="354" t="e">
        <f t="shared" si="267"/>
        <v>#NUM!</v>
      </c>
      <c r="DZ47" s="355">
        <f>IF(DS47=1,DY47,0)</f>
        <v>0</v>
      </c>
      <c r="EA47" s="251" t="e">
        <f t="shared" si="201"/>
        <v>#NUM!</v>
      </c>
      <c r="EB47" s="218">
        <f>DZ47</f>
        <v>0</v>
      </c>
      <c r="EC47" s="356">
        <f t="shared" si="203"/>
        <v>0</v>
      </c>
      <c r="ED47" s="622" t="e">
        <f t="shared" si="204"/>
        <v>#NUM!</v>
      </c>
      <c r="EE47" s="362">
        <f t="shared" si="119"/>
        <v>0</v>
      </c>
      <c r="EF47" s="218" t="str">
        <f t="shared" si="120"/>
        <v>x</v>
      </c>
      <c r="EG47" s="608">
        <f t="shared" si="121"/>
        <v>0</v>
      </c>
      <c r="EH47" s="608">
        <f>EG47</f>
        <v>0</v>
      </c>
      <c r="EI47" s="359">
        <f>IF(EH47=1,EE49,0)</f>
        <v>0</v>
      </c>
      <c r="EJ47" s="360">
        <f t="shared" si="123"/>
        <v>0</v>
      </c>
      <c r="EK47" s="361" t="e">
        <f t="shared" si="124"/>
        <v>#NUM!</v>
      </c>
      <c r="EL47" s="362">
        <f t="shared" si="125"/>
        <v>0</v>
      </c>
      <c r="EM47" s="218" t="str">
        <f t="shared" si="126"/>
        <v>x</v>
      </c>
      <c r="EN47" s="358">
        <f t="shared" si="205"/>
        <v>0</v>
      </c>
      <c r="EO47" s="358">
        <f>EN47</f>
        <v>0</v>
      </c>
      <c r="EP47" s="359">
        <f>IF(EO47=1,EL49,0)</f>
        <v>0</v>
      </c>
      <c r="EQ47" s="360">
        <f t="shared" si="207"/>
        <v>0</v>
      </c>
      <c r="ER47" s="361" t="e">
        <f t="shared" si="127"/>
        <v>#NUM!</v>
      </c>
      <c r="ES47" s="362">
        <f t="shared" si="128"/>
        <v>0</v>
      </c>
      <c r="ET47" s="218" t="str">
        <f t="shared" si="129"/>
        <v>x</v>
      </c>
      <c r="EU47" s="358">
        <f t="shared" si="208"/>
        <v>0</v>
      </c>
      <c r="EV47" s="358">
        <f>EU47</f>
        <v>0</v>
      </c>
      <c r="EW47" s="359">
        <f>IF(EV47=1,ES49,0)</f>
        <v>0</v>
      </c>
      <c r="EX47" s="360">
        <f t="shared" si="210"/>
        <v>0</v>
      </c>
      <c r="EY47" s="361" t="e">
        <f t="shared" si="130"/>
        <v>#NUM!</v>
      </c>
      <c r="EZ47" s="362">
        <f t="shared" si="131"/>
        <v>0</v>
      </c>
      <c r="FA47" s="218" t="str">
        <f t="shared" si="132"/>
        <v>x</v>
      </c>
      <c r="FB47" s="358">
        <f t="shared" si="211"/>
        <v>0</v>
      </c>
      <c r="FC47" s="358">
        <f>FB47</f>
        <v>0</v>
      </c>
      <c r="FD47" s="359">
        <f>IF(FC47=1,EZ49,0)</f>
        <v>0</v>
      </c>
      <c r="FE47" s="360">
        <f t="shared" si="213"/>
        <v>0</v>
      </c>
      <c r="FF47" s="361" t="e">
        <f t="shared" si="133"/>
        <v>#NUM!</v>
      </c>
      <c r="FG47" s="362">
        <f t="shared" si="134"/>
        <v>0</v>
      </c>
      <c r="FH47" s="218" t="str">
        <f t="shared" si="135"/>
        <v>x</v>
      </c>
      <c r="FI47" s="358">
        <f t="shared" si="214"/>
        <v>0</v>
      </c>
      <c r="FJ47" s="358">
        <f>FI47</f>
        <v>0</v>
      </c>
      <c r="FK47" s="359">
        <f>IF(FJ47=1,FG49,0)</f>
        <v>0</v>
      </c>
      <c r="FL47" s="360">
        <f t="shared" si="216"/>
        <v>0</v>
      </c>
      <c r="FM47" s="361" t="e">
        <f t="shared" si="136"/>
        <v>#NUM!</v>
      </c>
      <c r="FN47" s="362">
        <f t="shared" si="137"/>
        <v>0</v>
      </c>
      <c r="FO47" s="218" t="str">
        <f t="shared" si="138"/>
        <v>x</v>
      </c>
      <c r="FP47" s="358">
        <f t="shared" si="217"/>
        <v>0</v>
      </c>
      <c r="FQ47" s="358">
        <f>FP47</f>
        <v>0</v>
      </c>
      <c r="FR47" s="359">
        <f>IF(FQ47=1,FN49,0)</f>
        <v>0</v>
      </c>
      <c r="FS47" s="360">
        <f t="shared" si="219"/>
        <v>0</v>
      </c>
      <c r="FT47" s="361" t="e">
        <f t="shared" si="139"/>
        <v>#NUM!</v>
      </c>
      <c r="FU47" s="362">
        <f t="shared" si="140"/>
        <v>0</v>
      </c>
      <c r="FV47" s="218" t="str">
        <f t="shared" si="141"/>
        <v>x</v>
      </c>
      <c r="FW47" s="358">
        <f t="shared" si="220"/>
        <v>0</v>
      </c>
      <c r="FX47" s="358">
        <f>FW47</f>
        <v>0</v>
      </c>
      <c r="FY47" s="359">
        <f>IF(FX47=1,FU49,0)</f>
        <v>0</v>
      </c>
      <c r="FZ47" s="360">
        <f t="shared" si="222"/>
        <v>0</v>
      </c>
      <c r="GA47" s="361" t="e">
        <f t="shared" si="142"/>
        <v>#NUM!</v>
      </c>
      <c r="GB47" s="362">
        <f t="shared" si="143"/>
        <v>0</v>
      </c>
      <c r="GC47" s="218" t="str">
        <f t="shared" si="144"/>
        <v>x</v>
      </c>
      <c r="GD47" s="358">
        <f t="shared" si="223"/>
        <v>0</v>
      </c>
      <c r="GE47" s="358">
        <f>GD47</f>
        <v>0</v>
      </c>
      <c r="GF47" s="359">
        <f>IF(GE47=1,GB49,0)</f>
        <v>0</v>
      </c>
      <c r="GG47" s="360">
        <f t="shared" si="225"/>
        <v>0</v>
      </c>
      <c r="GH47" s="361" t="e">
        <f t="shared" si="145"/>
        <v>#NUM!</v>
      </c>
      <c r="GI47" s="361"/>
      <c r="GJ47" s="361"/>
      <c r="GK47" s="368">
        <v>1.1100000000000003E-3</v>
      </c>
      <c r="GL47" s="351">
        <f t="shared" si="146"/>
        <v>0</v>
      </c>
      <c r="GM47" s="537" t="str">
        <f>IF(GL47=1,(GL26+GK47),"X")</f>
        <v>X</v>
      </c>
      <c r="GN47" s="251" t="str">
        <f t="shared" si="148"/>
        <v>X</v>
      </c>
      <c r="GO47" s="251" t="e">
        <f t="shared" si="226"/>
        <v>#VALUE!</v>
      </c>
      <c r="GP47" s="352">
        <f t="shared" si="227"/>
        <v>1</v>
      </c>
      <c r="GQ47" s="354" t="e">
        <f t="shared" si="228"/>
        <v>#NUM!</v>
      </c>
      <c r="GR47" s="354" t="e">
        <f t="shared" si="229"/>
        <v>#NUM!</v>
      </c>
      <c r="GS47" s="355">
        <f t="shared" si="230"/>
        <v>0</v>
      </c>
      <c r="GT47" s="251" t="e">
        <f t="shared" si="231"/>
        <v>#NUM!</v>
      </c>
      <c r="GU47" s="218">
        <f>GS47</f>
        <v>0</v>
      </c>
      <c r="GV47" s="356">
        <f t="shared" si="233"/>
        <v>0</v>
      </c>
      <c r="GW47" s="622" t="e">
        <f t="shared" si="234"/>
        <v>#NUM!</v>
      </c>
      <c r="GX47" s="362">
        <f t="shared" si="235"/>
        <v>0</v>
      </c>
      <c r="GY47" s="218" t="str">
        <f t="shared" si="236"/>
        <v>x</v>
      </c>
      <c r="GZ47" s="358">
        <f t="shared" si="237"/>
        <v>0</v>
      </c>
      <c r="HA47" s="358">
        <f>GZ47</f>
        <v>0</v>
      </c>
      <c r="HB47" s="359">
        <f t="shared" si="238"/>
        <v>0</v>
      </c>
      <c r="HC47" s="360">
        <f t="shared" si="269"/>
        <v>0</v>
      </c>
      <c r="HD47" s="361" t="e">
        <f t="shared" si="270"/>
        <v>#NUM!</v>
      </c>
      <c r="HE47" s="362">
        <f t="shared" si="239"/>
        <v>0</v>
      </c>
      <c r="HF47" s="218" t="str">
        <f t="shared" si="149"/>
        <v>x</v>
      </c>
      <c r="HG47" s="358">
        <f t="shared" si="240"/>
        <v>0</v>
      </c>
      <c r="HH47" s="358">
        <f>HG47</f>
        <v>0</v>
      </c>
      <c r="HI47" s="359">
        <f t="shared" si="242"/>
        <v>0</v>
      </c>
      <c r="HJ47" s="360">
        <f t="shared" si="243"/>
        <v>0</v>
      </c>
      <c r="HK47" s="361" t="e">
        <f t="shared" si="150"/>
        <v>#NUM!</v>
      </c>
      <c r="HL47" s="362">
        <f t="shared" si="244"/>
        <v>0</v>
      </c>
      <c r="HM47" s="218" t="str">
        <f t="shared" si="151"/>
        <v>x</v>
      </c>
      <c r="HN47" s="358">
        <f t="shared" si="245"/>
        <v>0</v>
      </c>
      <c r="HO47" s="358">
        <f>HN47</f>
        <v>0</v>
      </c>
      <c r="HP47" s="359">
        <f t="shared" si="247"/>
        <v>0</v>
      </c>
      <c r="HQ47" s="360">
        <f t="shared" si="248"/>
        <v>0</v>
      </c>
      <c r="HR47" s="361" t="e">
        <f t="shared" si="152"/>
        <v>#NUM!</v>
      </c>
      <c r="HS47" s="362">
        <f t="shared" si="249"/>
        <v>0</v>
      </c>
      <c r="HT47" s="218" t="str">
        <f t="shared" si="250"/>
        <v>x</v>
      </c>
      <c r="HU47" s="358">
        <f t="shared" si="251"/>
        <v>0</v>
      </c>
      <c r="HV47" s="358">
        <f>HU47</f>
        <v>0</v>
      </c>
      <c r="HW47" s="359">
        <f t="shared" si="253"/>
        <v>0</v>
      </c>
      <c r="HX47" s="360">
        <f t="shared" si="271"/>
        <v>0</v>
      </c>
      <c r="HY47" s="361" t="e">
        <f t="shared" si="254"/>
        <v>#NUM!</v>
      </c>
      <c r="HZ47" s="362">
        <f t="shared" si="255"/>
        <v>0</v>
      </c>
      <c r="IA47" s="218" t="str">
        <f t="shared" si="256"/>
        <v>x</v>
      </c>
      <c r="IB47" s="358">
        <f t="shared" si="257"/>
        <v>0</v>
      </c>
      <c r="IC47" s="358">
        <f>IB47</f>
        <v>0</v>
      </c>
      <c r="ID47" s="359">
        <f t="shared" si="259"/>
        <v>0</v>
      </c>
      <c r="IE47" s="360">
        <f t="shared" si="272"/>
        <v>0</v>
      </c>
      <c r="IF47" s="361" t="e">
        <f t="shared" si="260"/>
        <v>#NUM!</v>
      </c>
      <c r="IG47" s="320"/>
      <c r="IH47" s="575">
        <f t="shared" si="273"/>
        <v>0</v>
      </c>
      <c r="II47" s="363">
        <f t="shared" si="153"/>
        <v>0</v>
      </c>
      <c r="IJ47" s="577"/>
      <c r="IK47" s="44"/>
      <c r="IL47" s="44"/>
      <c r="IM47" s="280">
        <f t="shared" si="262"/>
        <v>13</v>
      </c>
      <c r="IN47" s="385">
        <f>AH115</f>
        <v>0</v>
      </c>
      <c r="IO47" s="196" t="str">
        <f t="shared" si="154"/>
        <v xml:space="preserve"> </v>
      </c>
      <c r="IP47" s="342" t="str">
        <f t="shared" si="155"/>
        <v xml:space="preserve"> </v>
      </c>
      <c r="IQ47" s="280">
        <f t="shared" si="156"/>
        <v>0</v>
      </c>
      <c r="IR47" s="196">
        <f>AF35</f>
        <v>0</v>
      </c>
      <c r="IS47" s="280">
        <f t="shared" si="82"/>
        <v>1</v>
      </c>
      <c r="IT47" s="280">
        <f t="shared" si="83"/>
        <v>0</v>
      </c>
      <c r="IU47" s="280">
        <f t="shared" si="84"/>
        <v>0</v>
      </c>
      <c r="IV47" s="280">
        <f t="shared" si="85"/>
        <v>0</v>
      </c>
      <c r="IW47" s="280">
        <f t="shared" si="86"/>
        <v>0</v>
      </c>
      <c r="IX47" s="280">
        <f t="shared" si="87"/>
        <v>0</v>
      </c>
      <c r="IY47" s="280">
        <f t="shared" si="88"/>
        <v>0</v>
      </c>
      <c r="IZ47" s="280">
        <f t="shared" si="89"/>
        <v>0</v>
      </c>
      <c r="JA47" s="280">
        <f t="shared" si="90"/>
        <v>0</v>
      </c>
      <c r="JB47" s="280">
        <f t="shared" si="91"/>
        <v>0</v>
      </c>
      <c r="JC47" s="280">
        <f t="shared" si="92"/>
        <v>0</v>
      </c>
      <c r="JD47" s="280">
        <f t="shared" si="93"/>
        <v>0</v>
      </c>
      <c r="JE47" s="280">
        <f t="shared" si="94"/>
        <v>0</v>
      </c>
      <c r="JF47" s="280">
        <f t="shared" si="95"/>
        <v>0</v>
      </c>
      <c r="JG47" s="280">
        <f t="shared" si="96"/>
        <v>0</v>
      </c>
      <c r="JH47" s="280">
        <f t="shared" si="97"/>
        <v>0</v>
      </c>
      <c r="JI47" s="280">
        <f t="shared" si="98"/>
        <v>0</v>
      </c>
      <c r="JJ47" s="280">
        <f t="shared" si="99"/>
        <v>0</v>
      </c>
      <c r="JK47" s="280">
        <f t="shared" si="100"/>
        <v>0</v>
      </c>
      <c r="JL47" s="280">
        <f t="shared" si="101"/>
        <v>0</v>
      </c>
      <c r="JM47" s="280">
        <f t="shared" si="102"/>
        <v>0</v>
      </c>
      <c r="JN47" s="280">
        <f t="shared" si="103"/>
        <v>0</v>
      </c>
      <c r="JO47" s="280">
        <f t="shared" si="104"/>
        <v>0</v>
      </c>
      <c r="JP47" s="280">
        <f t="shared" si="105"/>
        <v>0</v>
      </c>
      <c r="JQ47" s="280">
        <f t="shared" si="106"/>
        <v>0</v>
      </c>
      <c r="JR47" s="280">
        <f t="shared" si="107"/>
        <v>0</v>
      </c>
      <c r="JS47" s="44">
        <f t="shared" si="157"/>
        <v>1</v>
      </c>
      <c r="JT47" s="343" t="str">
        <f t="shared" si="158"/>
        <v>F</v>
      </c>
      <c r="JU47" s="44"/>
      <c r="JV47" s="280">
        <f t="shared" si="159"/>
        <v>1</v>
      </c>
      <c r="JW47" s="280">
        <f t="shared" si="108"/>
        <v>0</v>
      </c>
      <c r="JX47" s="280">
        <f t="shared" si="109"/>
        <v>0</v>
      </c>
      <c r="JY47" s="280">
        <f t="shared" si="110"/>
        <v>0</v>
      </c>
      <c r="JZ47" s="280">
        <f t="shared" si="111"/>
        <v>0</v>
      </c>
      <c r="KA47" s="280">
        <f t="shared" si="112"/>
        <v>0</v>
      </c>
      <c r="KB47" s="44">
        <f t="shared" si="160"/>
        <v>1</v>
      </c>
      <c r="KC47" s="343" t="str">
        <f t="shared" si="161"/>
        <v>F</v>
      </c>
      <c r="KD47" s="280"/>
      <c r="KE47" s="280"/>
      <c r="KF47" s="280"/>
      <c r="KG47" s="280"/>
      <c r="KH47" s="280"/>
      <c r="KI47" s="280"/>
      <c r="KJ47" s="280"/>
      <c r="KK47" s="280"/>
      <c r="KL47" s="1"/>
      <c r="KM47" s="282"/>
      <c r="KO47" s="282"/>
      <c r="KR47" s="282"/>
      <c r="KW47" s="344"/>
      <c r="KX47" s="81"/>
      <c r="KY47" s="378"/>
      <c r="KZ47" s="268"/>
      <c r="LB47" s="345">
        <v>11</v>
      </c>
      <c r="LC47" s="204" t="s">
        <v>830</v>
      </c>
      <c r="LD47" s="169" t="s">
        <v>20</v>
      </c>
      <c r="LE47" s="347" t="s">
        <v>841</v>
      </c>
      <c r="LF47" s="169"/>
      <c r="LG47" s="169"/>
      <c r="LH47" s="169"/>
      <c r="LI47" s="169"/>
      <c r="LJ47" s="169"/>
      <c r="LK47" s="169"/>
      <c r="LL47" s="169"/>
      <c r="LM47" s="169"/>
      <c r="LN47" s="348"/>
    </row>
    <row r="48" spans="19:333" ht="16.149999999999999" customHeight="1" thickBot="1" x14ac:dyDescent="0.3">
      <c r="S48" s="798"/>
      <c r="T48" s="1531"/>
      <c r="U48" s="1510" t="s">
        <v>842</v>
      </c>
      <c r="V48" s="1508"/>
      <c r="W48" s="1508"/>
      <c r="X48" s="1509"/>
      <c r="Y48" s="386">
        <f>Y144</f>
        <v>0</v>
      </c>
      <c r="Z48" s="51" t="str">
        <f>IO71</f>
        <v xml:space="preserve"> </v>
      </c>
      <c r="AA48" s="276"/>
      <c r="AB48" s="1510" t="s">
        <v>843</v>
      </c>
      <c r="AC48" s="1508"/>
      <c r="AD48" s="1508"/>
      <c r="AE48" s="1509"/>
      <c r="AF48" s="386">
        <f>AF144</f>
        <v>0</v>
      </c>
      <c r="AG48" s="51" t="str">
        <f>IO72</f>
        <v xml:space="preserve"> </v>
      </c>
      <c r="AH48" s="387"/>
      <c r="AI48" s="1510" t="s">
        <v>844</v>
      </c>
      <c r="AJ48" s="1508"/>
      <c r="AK48" s="1508"/>
      <c r="AL48" s="1509"/>
      <c r="AM48" s="386">
        <f>AM144</f>
        <v>0</v>
      </c>
      <c r="AN48" s="51" t="str">
        <f>IO73</f>
        <v xml:space="preserve"> </v>
      </c>
      <c r="AO48" s="888"/>
      <c r="AP48" s="719"/>
      <c r="AQ48" s="719"/>
      <c r="AR48" s="285"/>
      <c r="AS48" s="720"/>
      <c r="AT48" s="719"/>
      <c r="AU48" s="126"/>
      <c r="AV48" s="373"/>
      <c r="AW48" s="653"/>
      <c r="BO48" s="277"/>
      <c r="BP48" s="277"/>
      <c r="BQ48" s="277"/>
      <c r="BR48" s="81"/>
      <c r="BS48" s="81"/>
      <c r="BT48" s="81"/>
      <c r="BU48" s="81"/>
      <c r="BV48" s="81"/>
      <c r="BW48" s="81"/>
      <c r="BX48" s="81"/>
      <c r="BY48" s="81"/>
      <c r="BZ48" s="81"/>
      <c r="CA48" s="263"/>
      <c r="CB48" s="351">
        <f t="shared" si="162"/>
        <v>0</v>
      </c>
      <c r="CC48" s="537"/>
      <c r="CD48" s="388">
        <f>SUM(CD36:CD47)</f>
        <v>0</v>
      </c>
      <c r="CE48" s="389"/>
      <c r="CF48" s="390"/>
      <c r="CG48" s="391"/>
      <c r="CH48" s="390"/>
      <c r="CI48" s="388">
        <f>SUM(CI36:CI47)</f>
        <v>0</v>
      </c>
      <c r="CJ48" s="390"/>
      <c r="CK48" s="390"/>
      <c r="CL48" s="388">
        <f>SUM(CL36:CL47)</f>
        <v>0</v>
      </c>
      <c r="CM48" s="621">
        <f>Y142</f>
        <v>0</v>
      </c>
      <c r="CN48" s="388">
        <f>SUM(CN36:CN47)</f>
        <v>0</v>
      </c>
      <c r="CO48" s="388"/>
      <c r="CP48" s="392"/>
      <c r="CQ48" s="392"/>
      <c r="CR48" s="392"/>
      <c r="CS48" s="365">
        <f>SUM(CS36:CS47)</f>
        <v>0</v>
      </c>
      <c r="CT48" s="361" t="e">
        <f>SUM(CT36:CT47)</f>
        <v>#NUM!</v>
      </c>
      <c r="CU48" s="393">
        <f>SUM(CU36:CU47)</f>
        <v>0</v>
      </c>
      <c r="CV48" s="394"/>
      <c r="CW48" s="394"/>
      <c r="CX48" s="394"/>
      <c r="CY48" s="394"/>
      <c r="CZ48" s="365">
        <f>SUM(CZ36:CZ47)</f>
        <v>0</v>
      </c>
      <c r="DA48" s="361" t="e">
        <f>SUM(DA36:DA47)</f>
        <v>#NUM!</v>
      </c>
      <c r="DB48" s="393">
        <f>SUM(DB36:DB47)</f>
        <v>0</v>
      </c>
      <c r="DC48" s="394"/>
      <c r="DD48" s="394"/>
      <c r="DE48" s="394"/>
      <c r="DF48" s="394"/>
      <c r="DG48" s="365">
        <f>SUM(DG36:DG47)</f>
        <v>0</v>
      </c>
      <c r="DH48" s="361" t="e">
        <f>SUM(DH36:DH47)</f>
        <v>#NUM!</v>
      </c>
      <c r="DI48" s="393">
        <f>SUM(DI36:DI47)</f>
        <v>0</v>
      </c>
      <c r="DJ48" s="394"/>
      <c r="DK48" s="394"/>
      <c r="DL48" s="394"/>
      <c r="DM48" s="394"/>
      <c r="DN48" s="365">
        <f>SUM(DN36:DN47)</f>
        <v>0</v>
      </c>
      <c r="DO48" s="361" t="e">
        <f>SUM(DO36:DO47)</f>
        <v>#NUM!</v>
      </c>
      <c r="DP48" s="361"/>
      <c r="DQ48" s="251"/>
      <c r="DR48" s="50"/>
      <c r="DS48" s="351">
        <f t="shared" si="197"/>
        <v>0</v>
      </c>
      <c r="DT48" s="389"/>
      <c r="DU48" s="388">
        <f>SUM(DU36:DU47)</f>
        <v>0</v>
      </c>
      <c r="DV48" s="389"/>
      <c r="DW48" s="395"/>
      <c r="DX48" s="395"/>
      <c r="DY48" s="389"/>
      <c r="DZ48" s="388">
        <f>SUM(DZ36:DZ47)</f>
        <v>0</v>
      </c>
      <c r="EA48" s="390"/>
      <c r="EB48" s="263"/>
      <c r="EC48" s="388">
        <f>SUM(EC36:EC47)</f>
        <v>0</v>
      </c>
      <c r="ED48" s="621">
        <f>AF142</f>
        <v>0</v>
      </c>
      <c r="EE48" s="388">
        <f>SUM(EE36:EE47)</f>
        <v>0</v>
      </c>
      <c r="EF48" s="388"/>
      <c r="EG48" s="392"/>
      <c r="EH48" s="392"/>
      <c r="EI48" s="392"/>
      <c r="EJ48" s="365">
        <f>SUM(EJ36:EJ47)</f>
        <v>0</v>
      </c>
      <c r="EK48" s="361" t="e">
        <f>SUM(EK36:EK47)</f>
        <v>#NUM!</v>
      </c>
      <c r="EL48" s="585">
        <f>SUM(EL36:EL47)</f>
        <v>0</v>
      </c>
      <c r="EM48" s="388"/>
      <c r="EN48" s="392"/>
      <c r="EO48" s="392"/>
      <c r="EP48" s="392"/>
      <c r="EQ48" s="365">
        <f>SUM(EQ36:EQ47)</f>
        <v>0</v>
      </c>
      <c r="ER48" s="361" t="e">
        <f>SUM(ER36:ER47)</f>
        <v>#NUM!</v>
      </c>
      <c r="ES48" s="585">
        <f>SUM(ES36:ES47)</f>
        <v>0</v>
      </c>
      <c r="ET48" s="388"/>
      <c r="EU48" s="392"/>
      <c r="EV48" s="392"/>
      <c r="EW48" s="392"/>
      <c r="EX48" s="365">
        <f>SUM(EX36:EX47)</f>
        <v>0</v>
      </c>
      <c r="EY48" s="361" t="e">
        <f>SUM(EY36:EY47)</f>
        <v>#NUM!</v>
      </c>
      <c r="EZ48" s="585">
        <f>SUM(EZ36:EZ47)</f>
        <v>0</v>
      </c>
      <c r="FA48" s="388"/>
      <c r="FB48" s="392"/>
      <c r="FC48" s="392"/>
      <c r="FD48" s="392"/>
      <c r="FE48" s="365">
        <f>SUM(FE36:FE47)</f>
        <v>0</v>
      </c>
      <c r="FF48" s="361" t="e">
        <f>SUM(FF36:FF47)</f>
        <v>#NUM!</v>
      </c>
      <c r="FG48" s="585">
        <f>SUM(FG36:FG47)</f>
        <v>0</v>
      </c>
      <c r="FH48" s="388"/>
      <c r="FI48" s="392"/>
      <c r="FJ48" s="392"/>
      <c r="FK48" s="392"/>
      <c r="FL48" s="365">
        <f>SUM(FL36:FL47)</f>
        <v>0</v>
      </c>
      <c r="FM48" s="361" t="e">
        <f>SUM(FM36:FM47)</f>
        <v>#NUM!</v>
      </c>
      <c r="FN48" s="585">
        <f>SUM(FN36:FN47)</f>
        <v>0</v>
      </c>
      <c r="FO48" s="388"/>
      <c r="FP48" s="392"/>
      <c r="FQ48" s="392"/>
      <c r="FR48" s="392"/>
      <c r="FS48" s="365">
        <f>SUM(FS36:FS47)</f>
        <v>0</v>
      </c>
      <c r="FT48" s="361" t="e">
        <f>SUM(FT36:FT47)</f>
        <v>#NUM!</v>
      </c>
      <c r="FU48" s="585">
        <f>SUM(FU36:FU47)</f>
        <v>0</v>
      </c>
      <c r="FV48" s="388"/>
      <c r="FW48" s="392"/>
      <c r="FX48" s="392"/>
      <c r="FY48" s="392"/>
      <c r="FZ48" s="365">
        <f>SUM(FZ36:FZ47)</f>
        <v>0</v>
      </c>
      <c r="GA48" s="361" t="e">
        <f>SUM(GA36:GA47)</f>
        <v>#NUM!</v>
      </c>
      <c r="GB48" s="585">
        <f>SUM(GB36:GB47)</f>
        <v>0</v>
      </c>
      <c r="GC48" s="388"/>
      <c r="GD48" s="392"/>
      <c r="GE48" s="392"/>
      <c r="GF48" s="392"/>
      <c r="GG48" s="365">
        <f>SUM(GG36:GG47)</f>
        <v>0</v>
      </c>
      <c r="GH48" s="361" t="e">
        <f>SUM(GH36:GH47)</f>
        <v>#NUM!</v>
      </c>
      <c r="GI48" s="394"/>
      <c r="GJ48" s="394"/>
      <c r="GK48" s="263"/>
      <c r="GL48" s="351">
        <f t="shared" si="146"/>
        <v>0</v>
      </c>
      <c r="GM48" s="396"/>
      <c r="GN48" s="388">
        <f>SUM(GN36:GN47)</f>
        <v>0</v>
      </c>
      <c r="GO48" s="389"/>
      <c r="GP48" s="395"/>
      <c r="GQ48" s="395"/>
      <c r="GR48" s="389"/>
      <c r="GS48" s="388">
        <f>SUM(GS36:GS47)</f>
        <v>0</v>
      </c>
      <c r="GT48" s="395"/>
      <c r="GU48" s="263"/>
      <c r="GV48" s="388">
        <f>SUM(GV36:GV47)</f>
        <v>0</v>
      </c>
      <c r="GW48" s="621">
        <f>AM142</f>
        <v>0</v>
      </c>
      <c r="GX48" s="394">
        <f>SUM(GX36:GX47)</f>
        <v>0</v>
      </c>
      <c r="GY48" s="394"/>
      <c r="GZ48" s="392"/>
      <c r="HA48" s="392"/>
      <c r="HB48" s="392"/>
      <c r="HC48" s="365">
        <f>SUM(HC36:HC47)</f>
        <v>0</v>
      </c>
      <c r="HD48" s="361" t="e">
        <f>SUM(HD36:HD47)</f>
        <v>#NUM!</v>
      </c>
      <c r="HE48" s="585">
        <f>SUM(HE36:HE47)</f>
        <v>0</v>
      </c>
      <c r="HF48" s="394"/>
      <c r="HG48" s="392"/>
      <c r="HH48" s="392"/>
      <c r="HI48" s="392"/>
      <c r="HJ48" s="365">
        <f>SUM(HJ36:HJ47)</f>
        <v>0</v>
      </c>
      <c r="HK48" s="361" t="e">
        <f>SUM(HK36:HK47)</f>
        <v>#NUM!</v>
      </c>
      <c r="HL48" s="393">
        <f>SUM(HL36:HL47)</f>
        <v>0</v>
      </c>
      <c r="HM48" s="394"/>
      <c r="HN48" s="394"/>
      <c r="HO48" s="394"/>
      <c r="HP48" s="394"/>
      <c r="HQ48" s="365">
        <f>SUM(HQ36:HQ47)</f>
        <v>0</v>
      </c>
      <c r="HR48" s="361" t="e">
        <f>SUM(HR36:HR47)</f>
        <v>#NUM!</v>
      </c>
      <c r="HS48" s="388">
        <f>SUM(HS36:HS47)</f>
        <v>0</v>
      </c>
      <c r="HT48" s="394"/>
      <c r="HU48" s="392"/>
      <c r="HV48" s="392"/>
      <c r="HW48" s="392"/>
      <c r="HX48" s="365">
        <f>SUM(HX36:HX47)</f>
        <v>0</v>
      </c>
      <c r="HY48" s="361" t="e">
        <f>SUM(HY36:HY47)</f>
        <v>#NUM!</v>
      </c>
      <c r="HZ48" s="388">
        <f>SUM(HZ36:HZ47)</f>
        <v>0</v>
      </c>
      <c r="IA48" s="394"/>
      <c r="IB48" s="392"/>
      <c r="IC48" s="392"/>
      <c r="ID48" s="392"/>
      <c r="IE48" s="365">
        <f>SUM(IE36:IE47)</f>
        <v>0</v>
      </c>
      <c r="IF48" s="361" t="e">
        <f>SUM(IF36:IF47)</f>
        <v>#NUM!</v>
      </c>
      <c r="IG48" s="320"/>
      <c r="IH48" s="578">
        <f>SUM(IH36:IH47)</f>
        <v>0</v>
      </c>
      <c r="II48" s="579">
        <f>SUM(II36:II47)</f>
        <v>0</v>
      </c>
      <c r="IJ48" s="580"/>
      <c r="IK48" s="44"/>
      <c r="IL48" s="44"/>
      <c r="IM48" s="280">
        <f t="shared" si="262"/>
        <v>14</v>
      </c>
      <c r="IN48" s="385">
        <f>AH116</f>
        <v>0</v>
      </c>
      <c r="IO48" s="196" t="str">
        <f t="shared" si="154"/>
        <v xml:space="preserve"> </v>
      </c>
      <c r="IP48" s="342" t="str">
        <f t="shared" si="155"/>
        <v xml:space="preserve"> </v>
      </c>
      <c r="IQ48" s="280">
        <f t="shared" si="156"/>
        <v>0</v>
      </c>
      <c r="IR48" s="196">
        <f>AF36</f>
        <v>0</v>
      </c>
      <c r="IS48" s="280">
        <f t="shared" si="82"/>
        <v>1</v>
      </c>
      <c r="IT48" s="280">
        <f t="shared" si="83"/>
        <v>0</v>
      </c>
      <c r="IU48" s="280">
        <f t="shared" si="84"/>
        <v>0</v>
      </c>
      <c r="IV48" s="280">
        <f t="shared" si="85"/>
        <v>0</v>
      </c>
      <c r="IW48" s="280">
        <f t="shared" si="86"/>
        <v>0</v>
      </c>
      <c r="IX48" s="280">
        <f t="shared" si="87"/>
        <v>0</v>
      </c>
      <c r="IY48" s="280">
        <f t="shared" si="88"/>
        <v>0</v>
      </c>
      <c r="IZ48" s="280">
        <f t="shared" si="89"/>
        <v>0</v>
      </c>
      <c r="JA48" s="280">
        <f t="shared" si="90"/>
        <v>0</v>
      </c>
      <c r="JB48" s="280">
        <f t="shared" si="91"/>
        <v>0</v>
      </c>
      <c r="JC48" s="280">
        <f t="shared" si="92"/>
        <v>0</v>
      </c>
      <c r="JD48" s="280">
        <f t="shared" si="93"/>
        <v>0</v>
      </c>
      <c r="JE48" s="280">
        <f t="shared" si="94"/>
        <v>0</v>
      </c>
      <c r="JF48" s="280">
        <f t="shared" si="95"/>
        <v>0</v>
      </c>
      <c r="JG48" s="280">
        <f t="shared" si="96"/>
        <v>0</v>
      </c>
      <c r="JH48" s="280">
        <f t="shared" si="97"/>
        <v>0</v>
      </c>
      <c r="JI48" s="280">
        <f t="shared" si="98"/>
        <v>0</v>
      </c>
      <c r="JJ48" s="280">
        <f t="shared" si="99"/>
        <v>0</v>
      </c>
      <c r="JK48" s="280">
        <f t="shared" si="100"/>
        <v>0</v>
      </c>
      <c r="JL48" s="280">
        <f t="shared" si="101"/>
        <v>0</v>
      </c>
      <c r="JM48" s="280">
        <f t="shared" si="102"/>
        <v>0</v>
      </c>
      <c r="JN48" s="280">
        <f t="shared" si="103"/>
        <v>0</v>
      </c>
      <c r="JO48" s="280">
        <f t="shared" si="104"/>
        <v>0</v>
      </c>
      <c r="JP48" s="280">
        <f t="shared" si="105"/>
        <v>0</v>
      </c>
      <c r="JQ48" s="280">
        <f t="shared" si="106"/>
        <v>0</v>
      </c>
      <c r="JR48" s="280">
        <f t="shared" si="107"/>
        <v>0</v>
      </c>
      <c r="JS48" s="44">
        <f t="shared" si="157"/>
        <v>1</v>
      </c>
      <c r="JT48" s="343" t="str">
        <f t="shared" si="158"/>
        <v>F</v>
      </c>
      <c r="JU48" s="44"/>
      <c r="JV48" s="280">
        <f t="shared" si="159"/>
        <v>1</v>
      </c>
      <c r="JW48" s="280">
        <f t="shared" si="108"/>
        <v>0</v>
      </c>
      <c r="JX48" s="280">
        <f t="shared" si="109"/>
        <v>0</v>
      </c>
      <c r="JY48" s="280">
        <f t="shared" si="110"/>
        <v>0</v>
      </c>
      <c r="JZ48" s="280">
        <f t="shared" si="111"/>
        <v>0</v>
      </c>
      <c r="KA48" s="280">
        <f t="shared" si="112"/>
        <v>0</v>
      </c>
      <c r="KB48" s="44">
        <f t="shared" si="160"/>
        <v>1</v>
      </c>
      <c r="KC48" s="343" t="str">
        <f t="shared" si="161"/>
        <v>F</v>
      </c>
      <c r="KD48" s="280"/>
      <c r="KE48" s="280"/>
      <c r="KF48" s="280"/>
      <c r="KG48" s="280"/>
      <c r="KH48" s="280"/>
      <c r="KI48" s="280"/>
      <c r="KJ48" s="280"/>
      <c r="KK48" s="280"/>
      <c r="KO48" s="8"/>
      <c r="KR48" s="282"/>
      <c r="KW48" s="374"/>
      <c r="KX48" s="375"/>
      <c r="KY48" s="375"/>
      <c r="KZ48" s="376"/>
      <c r="LB48" s="345">
        <v>12</v>
      </c>
      <c r="LC48" s="204" t="s">
        <v>830</v>
      </c>
      <c r="LD48" s="169" t="s">
        <v>22</v>
      </c>
      <c r="LE48" s="347" t="s">
        <v>845</v>
      </c>
      <c r="LF48" s="169"/>
      <c r="LG48" s="169"/>
      <c r="LH48" s="169"/>
      <c r="LI48" s="169"/>
      <c r="LJ48" s="169"/>
      <c r="LK48" s="169"/>
      <c r="LL48" s="169"/>
      <c r="LM48" s="169"/>
      <c r="LN48" s="348"/>
    </row>
    <row r="49" spans="1:391" ht="16.149999999999999" customHeight="1" x14ac:dyDescent="0.25">
      <c r="S49" s="798"/>
      <c r="T49" s="1531"/>
      <c r="U49" s="398"/>
      <c r="V49" s="398"/>
      <c r="W49" s="398"/>
      <c r="X49" s="276"/>
      <c r="Y49" s="276"/>
      <c r="Z49" s="276"/>
      <c r="AA49" s="1117"/>
      <c r="AB49" s="276"/>
      <c r="AC49" s="276"/>
      <c r="AD49" s="276"/>
      <c r="AE49" s="398"/>
      <c r="AF49" s="399"/>
      <c r="AG49" s="276"/>
      <c r="AH49" s="387"/>
      <c r="AI49" s="400"/>
      <c r="AJ49" s="400"/>
      <c r="AK49" s="400"/>
      <c r="AL49" s="1117"/>
      <c r="AM49" s="260"/>
      <c r="AN49" s="260"/>
      <c r="AO49" s="888"/>
      <c r="AP49" s="719"/>
      <c r="AQ49" s="719"/>
      <c r="AR49" s="285"/>
      <c r="AS49" s="720"/>
      <c r="AT49" s="719"/>
      <c r="AU49" s="126"/>
      <c r="AV49" s="373"/>
      <c r="AW49" s="653"/>
      <c r="AX49" s="78">
        <f t="shared" ref="AX49:AX60" si="279">IF($AE35=$AX$34,1,0)</f>
        <v>0</v>
      </c>
      <c r="AY49" s="78">
        <f t="shared" ref="AY49:AY60" si="280">IF($AE35=$AY$34,1,0)</f>
        <v>0</v>
      </c>
      <c r="AZ49" s="78">
        <f t="shared" ref="AZ49:AZ60" si="281">IF($AE35=$AZ$34,1,0)</f>
        <v>0</v>
      </c>
      <c r="BA49" s="78">
        <f t="shared" ref="BA49:BA60" si="282">IF($AE35=$BA$34,1,0)</f>
        <v>0</v>
      </c>
      <c r="BB49" s="78">
        <f t="shared" ref="BB49:BB60" si="283">IF($AE35=$BB$34,1,0)</f>
        <v>0</v>
      </c>
      <c r="BC49" s="78">
        <f t="shared" ref="BC49:BC60" si="284">IF($AE35=$BC$34,1,0)</f>
        <v>0</v>
      </c>
      <c r="BD49" s="78">
        <f t="shared" ref="BD49:BD60" si="285">IF($AE35=$BD$34,1,0)</f>
        <v>0</v>
      </c>
      <c r="BE49" s="78">
        <f t="shared" ref="BE49:BE60" si="286">IF($AE35=$BE$34,1,0)</f>
        <v>0</v>
      </c>
      <c r="BF49" s="78">
        <f t="shared" ref="BF49:BF60" si="287">IF($AE35=$BF$34,1,0)</f>
        <v>0</v>
      </c>
      <c r="BG49" s="78">
        <f t="shared" ref="BG49:BG60" si="288">IF($AE35=$BG$34,1,0)</f>
        <v>0</v>
      </c>
      <c r="BH49" s="78">
        <f t="shared" ref="BH49:BH60" si="289">IF($AE35=$BH$34,1,0)</f>
        <v>0</v>
      </c>
      <c r="BI49" s="78">
        <f t="shared" ref="BI49:BI60" si="290">IF($AE35=$BI$34,1,0)</f>
        <v>0</v>
      </c>
      <c r="BJ49" s="78">
        <f>SUM(AX49:BI49)</f>
        <v>0</v>
      </c>
      <c r="BK49" s="78">
        <f>COUNT(AE35)</f>
        <v>0</v>
      </c>
      <c r="BM49" s="277"/>
      <c r="BN49" s="277"/>
      <c r="BO49" s="277"/>
      <c r="BP49" s="277"/>
      <c r="BQ49" s="277"/>
      <c r="BR49" s="81"/>
      <c r="BS49" s="81"/>
      <c r="BT49" s="81"/>
      <c r="BU49" s="81"/>
      <c r="BV49" s="81"/>
      <c r="BW49" s="81"/>
      <c r="BX49" s="81"/>
      <c r="BY49" s="81"/>
      <c r="BZ49" s="81"/>
      <c r="CA49" s="263"/>
      <c r="CB49" s="263"/>
      <c r="CC49" s="263"/>
      <c r="CD49" s="263"/>
      <c r="CE49" s="263"/>
      <c r="CF49" s="263"/>
      <c r="CG49" s="263"/>
      <c r="CH49" s="263"/>
      <c r="CI49" s="263"/>
      <c r="CJ49" s="263"/>
      <c r="CK49" s="263"/>
      <c r="CL49" s="263"/>
      <c r="CM49" s="263"/>
      <c r="CN49" s="564">
        <f>CN35-CN48</f>
        <v>80</v>
      </c>
      <c r="CO49" s="401"/>
      <c r="CP49" s="392"/>
      <c r="CQ49" s="392"/>
      <c r="CR49" s="392"/>
      <c r="CS49" s="624">
        <f>120-CS48</f>
        <v>120</v>
      </c>
      <c r="CT49" s="582" t="e">
        <f>CT48 / CS48</f>
        <v>#NUM!</v>
      </c>
      <c r="CU49" s="564">
        <f>CU35-CU48</f>
        <v>60</v>
      </c>
      <c r="CV49" s="401"/>
      <c r="CW49" s="401"/>
      <c r="CX49" s="401"/>
      <c r="CY49" s="392"/>
      <c r="CZ49" s="624">
        <f>120-CZ48</f>
        <v>120</v>
      </c>
      <c r="DA49" s="582" t="e">
        <f>DA48 / CZ48</f>
        <v>#NUM!</v>
      </c>
      <c r="DB49" s="564">
        <f>DB35-DB48</f>
        <v>105</v>
      </c>
      <c r="DC49" s="401"/>
      <c r="DD49" s="401"/>
      <c r="DE49" s="401"/>
      <c r="DF49" s="392"/>
      <c r="DG49" s="624">
        <f>120-DG48</f>
        <v>120</v>
      </c>
      <c r="DH49" s="403" t="e">
        <f>DH48 / DG48</f>
        <v>#NUM!</v>
      </c>
      <c r="DI49" s="564">
        <f>DI35-DI48</f>
        <v>15</v>
      </c>
      <c r="DJ49" s="401"/>
      <c r="DK49" s="401"/>
      <c r="DL49" s="401"/>
      <c r="DM49" s="392"/>
      <c r="DN49" s="624">
        <f>120-DN48</f>
        <v>120</v>
      </c>
      <c r="DO49" s="403" t="e">
        <f>DO48 / DN48</f>
        <v>#NUM!</v>
      </c>
      <c r="DP49" s="403"/>
      <c r="DQ49" s="404"/>
      <c r="DR49" s="263"/>
      <c r="DS49" s="263"/>
      <c r="DT49" s="263"/>
      <c r="DU49" s="263"/>
      <c r="DV49" s="263"/>
      <c r="DW49" s="355"/>
      <c r="DX49" s="263"/>
      <c r="DY49" s="263"/>
      <c r="DZ49" s="355"/>
      <c r="EA49" s="263"/>
      <c r="EB49" s="263"/>
      <c r="EC49" s="263"/>
      <c r="ED49" s="405" t="e">
        <f>ED48/EC48</f>
        <v>#DIV/0!</v>
      </c>
      <c r="EE49" s="568">
        <f>EE35-EE48</f>
        <v>105</v>
      </c>
      <c r="EF49" s="401"/>
      <c r="EG49" s="392"/>
      <c r="EH49" s="392"/>
      <c r="EI49" s="392"/>
      <c r="EJ49" s="624">
        <f>120-EJ48</f>
        <v>120</v>
      </c>
      <c r="EK49" s="582" t="e">
        <f>EK48 / EJ48</f>
        <v>#NUM!</v>
      </c>
      <c r="EL49" s="568">
        <f>EL35-EL48</f>
        <v>100</v>
      </c>
      <c r="EM49" s="401"/>
      <c r="EN49" s="392"/>
      <c r="EO49" s="392"/>
      <c r="EP49" s="392"/>
      <c r="EQ49" s="624">
        <f>120-EQ48</f>
        <v>120</v>
      </c>
      <c r="ER49" s="582" t="e">
        <f>ER48 / EQ48</f>
        <v>#NUM!</v>
      </c>
      <c r="ES49" s="568">
        <f>ES35-ES48</f>
        <v>90</v>
      </c>
      <c r="ET49" s="401"/>
      <c r="EU49" s="392"/>
      <c r="EV49" s="392"/>
      <c r="EW49" s="392"/>
      <c r="EX49" s="624">
        <f>120-EX48</f>
        <v>120</v>
      </c>
      <c r="EY49" s="582" t="e">
        <f>EY48/EX48</f>
        <v>#NUM!</v>
      </c>
      <c r="EZ49" s="568">
        <f>EZ35-EZ48</f>
        <v>80</v>
      </c>
      <c r="FA49" s="401"/>
      <c r="FB49" s="392"/>
      <c r="FC49" s="392"/>
      <c r="FD49" s="392"/>
      <c r="FE49" s="624">
        <f>120-FE48</f>
        <v>120</v>
      </c>
      <c r="FF49" s="582" t="e">
        <f>FF48 / FE48</f>
        <v>#NUM!</v>
      </c>
      <c r="FG49" s="568">
        <f>FG35-FG48</f>
        <v>75</v>
      </c>
      <c r="FH49" s="401"/>
      <c r="FI49" s="392"/>
      <c r="FJ49" s="392"/>
      <c r="FK49" s="392"/>
      <c r="FL49" s="624">
        <f>120-FL48</f>
        <v>120</v>
      </c>
      <c r="FM49" s="582" t="e">
        <f>FM48 / FL48</f>
        <v>#NUM!</v>
      </c>
      <c r="FN49" s="568">
        <f>FN35-FN48</f>
        <v>60</v>
      </c>
      <c r="FO49" s="401"/>
      <c r="FP49" s="392"/>
      <c r="FQ49" s="392"/>
      <c r="FR49" s="392"/>
      <c r="FS49" s="624">
        <f>120-FS48</f>
        <v>120</v>
      </c>
      <c r="FT49" s="582" t="e">
        <f>FT48 / FS48</f>
        <v>#NUM!</v>
      </c>
      <c r="FU49" s="568">
        <f>FU35-FU48</f>
        <v>40</v>
      </c>
      <c r="FV49" s="401"/>
      <c r="FW49" s="392"/>
      <c r="FX49" s="392"/>
      <c r="FY49" s="392"/>
      <c r="FZ49" s="624">
        <f>120-FZ48</f>
        <v>120</v>
      </c>
      <c r="GA49" s="582" t="e">
        <f>GA48 / FZ48</f>
        <v>#NUM!</v>
      </c>
      <c r="GB49" s="568">
        <f>GB35-GB48</f>
        <v>30</v>
      </c>
      <c r="GC49" s="401"/>
      <c r="GD49" s="392"/>
      <c r="GE49" s="392"/>
      <c r="GF49" s="392"/>
      <c r="GG49" s="624">
        <f>120-GG48</f>
        <v>120</v>
      </c>
      <c r="GH49" s="582" t="e">
        <f>GH48 / GG48</f>
        <v>#NUM!</v>
      </c>
      <c r="GI49" s="401"/>
      <c r="GJ49" s="401"/>
      <c r="GK49" s="320"/>
      <c r="GL49" s="320"/>
      <c r="GM49" s="320"/>
      <c r="GN49" s="263"/>
      <c r="GO49" s="263"/>
      <c r="GP49" s="263"/>
      <c r="GQ49" s="263"/>
      <c r="GR49" s="263"/>
      <c r="GS49" s="263"/>
      <c r="GT49" s="263"/>
      <c r="GU49" s="263"/>
      <c r="GV49" s="263"/>
      <c r="GW49" s="263" t="e">
        <f>GW48/GV48</f>
        <v>#DIV/0!</v>
      </c>
      <c r="GX49" s="402">
        <f>105-GX48</f>
        <v>105</v>
      </c>
      <c r="GY49" s="401"/>
      <c r="GZ49" s="392"/>
      <c r="HA49" s="392"/>
      <c r="HB49" s="392"/>
      <c r="HC49" s="624">
        <f>120-HC48</f>
        <v>120</v>
      </c>
      <c r="HD49" s="609" t="e">
        <f>HD48/HC48</f>
        <v>#NUM!</v>
      </c>
      <c r="HE49" s="402">
        <f>100-HE48</f>
        <v>100</v>
      </c>
      <c r="HF49" s="401"/>
      <c r="HG49" s="392"/>
      <c r="HH49" s="392"/>
      <c r="HI49" s="392"/>
      <c r="HJ49" s="624">
        <f>120-HJ48</f>
        <v>120</v>
      </c>
      <c r="HK49" s="610" t="e">
        <f>HK48/HJ48</f>
        <v>#NUM!</v>
      </c>
      <c r="HL49" s="402">
        <f>90-HL48</f>
        <v>90</v>
      </c>
      <c r="HM49" s="401"/>
      <c r="HN49" s="401"/>
      <c r="HO49" s="401"/>
      <c r="HP49" s="392"/>
      <c r="HQ49" s="624">
        <f>120-HQ48</f>
        <v>120</v>
      </c>
      <c r="HR49" s="609" t="e">
        <f>HR48/HQ48</f>
        <v>#NUM!</v>
      </c>
      <c r="HS49" s="568">
        <f>HS35-HS48</f>
        <v>80</v>
      </c>
      <c r="HT49" s="401"/>
      <c r="HU49" s="392"/>
      <c r="HV49" s="392"/>
      <c r="HW49" s="392"/>
      <c r="HX49" s="624">
        <f>120-HX48</f>
        <v>120</v>
      </c>
      <c r="HY49" s="609" t="e">
        <f>HY48 / HX48</f>
        <v>#NUM!</v>
      </c>
      <c r="HZ49" s="568">
        <f>HZ35-HZ48</f>
        <v>60</v>
      </c>
      <c r="IA49" s="401"/>
      <c r="IB49" s="392"/>
      <c r="IC49" s="392"/>
      <c r="ID49" s="392"/>
      <c r="IE49" s="624">
        <f>120-IE48</f>
        <v>120</v>
      </c>
      <c r="IF49" s="609" t="e">
        <f>IF48 / IE48</f>
        <v>#NUM!</v>
      </c>
      <c r="IG49" s="263"/>
      <c r="IH49" s="263"/>
      <c r="II49" s="263"/>
      <c r="IJ49" s="81"/>
      <c r="IK49" s="44"/>
      <c r="IL49" s="44"/>
      <c r="IM49" s="280">
        <f t="shared" si="262"/>
        <v>15</v>
      </c>
      <c r="IN49" s="385">
        <f>AH117</f>
        <v>0</v>
      </c>
      <c r="IO49" s="196" t="str">
        <f t="shared" si="154"/>
        <v xml:space="preserve"> </v>
      </c>
      <c r="IP49" s="342" t="str">
        <f t="shared" si="155"/>
        <v xml:space="preserve"> </v>
      </c>
      <c r="IQ49" s="280">
        <f t="shared" si="156"/>
        <v>0</v>
      </c>
      <c r="IR49" s="196">
        <f>AF37</f>
        <v>0</v>
      </c>
      <c r="IS49" s="280">
        <f t="shared" si="82"/>
        <v>1</v>
      </c>
      <c r="IT49" s="280">
        <f t="shared" si="83"/>
        <v>0</v>
      </c>
      <c r="IU49" s="280">
        <f t="shared" si="84"/>
        <v>0</v>
      </c>
      <c r="IV49" s="280">
        <f t="shared" si="85"/>
        <v>0</v>
      </c>
      <c r="IW49" s="280">
        <f t="shared" si="86"/>
        <v>0</v>
      </c>
      <c r="IX49" s="280">
        <f t="shared" si="87"/>
        <v>0</v>
      </c>
      <c r="IY49" s="280">
        <f t="shared" si="88"/>
        <v>0</v>
      </c>
      <c r="IZ49" s="280">
        <f t="shared" si="89"/>
        <v>0</v>
      </c>
      <c r="JA49" s="280">
        <f t="shared" si="90"/>
        <v>0</v>
      </c>
      <c r="JB49" s="280">
        <f t="shared" si="91"/>
        <v>0</v>
      </c>
      <c r="JC49" s="280">
        <f t="shared" si="92"/>
        <v>0</v>
      </c>
      <c r="JD49" s="280">
        <f t="shared" si="93"/>
        <v>0</v>
      </c>
      <c r="JE49" s="280">
        <f t="shared" si="94"/>
        <v>0</v>
      </c>
      <c r="JF49" s="280">
        <f t="shared" si="95"/>
        <v>0</v>
      </c>
      <c r="JG49" s="280">
        <f t="shared" si="96"/>
        <v>0</v>
      </c>
      <c r="JH49" s="280">
        <f t="shared" si="97"/>
        <v>0</v>
      </c>
      <c r="JI49" s="280">
        <f t="shared" si="98"/>
        <v>0</v>
      </c>
      <c r="JJ49" s="280">
        <f t="shared" si="99"/>
        <v>0</v>
      </c>
      <c r="JK49" s="280">
        <f t="shared" si="100"/>
        <v>0</v>
      </c>
      <c r="JL49" s="280">
        <f t="shared" si="101"/>
        <v>0</v>
      </c>
      <c r="JM49" s="280">
        <f t="shared" si="102"/>
        <v>0</v>
      </c>
      <c r="JN49" s="280">
        <f t="shared" si="103"/>
        <v>0</v>
      </c>
      <c r="JO49" s="280">
        <f t="shared" si="104"/>
        <v>0</v>
      </c>
      <c r="JP49" s="280">
        <f t="shared" si="105"/>
        <v>0</v>
      </c>
      <c r="JQ49" s="280">
        <f t="shared" si="106"/>
        <v>0</v>
      </c>
      <c r="JR49" s="280">
        <f t="shared" si="107"/>
        <v>0</v>
      </c>
      <c r="JS49" s="44">
        <f t="shared" si="157"/>
        <v>1</v>
      </c>
      <c r="JT49" s="343" t="str">
        <f t="shared" si="158"/>
        <v>F</v>
      </c>
      <c r="JU49" s="44"/>
      <c r="JV49" s="280">
        <f t="shared" si="159"/>
        <v>1</v>
      </c>
      <c r="JW49" s="280">
        <f t="shared" si="108"/>
        <v>0</v>
      </c>
      <c r="JX49" s="280">
        <f t="shared" si="109"/>
        <v>0</v>
      </c>
      <c r="JY49" s="280">
        <f t="shared" si="110"/>
        <v>0</v>
      </c>
      <c r="JZ49" s="280">
        <f t="shared" si="111"/>
        <v>0</v>
      </c>
      <c r="KA49" s="280">
        <f t="shared" si="112"/>
        <v>0</v>
      </c>
      <c r="KB49" s="44">
        <f t="shared" si="160"/>
        <v>1</v>
      </c>
      <c r="KC49" s="343" t="str">
        <f t="shared" si="161"/>
        <v>F</v>
      </c>
      <c r="KD49" s="280"/>
      <c r="KE49" s="280"/>
      <c r="KF49" s="280"/>
      <c r="KG49" s="280"/>
      <c r="KH49" s="280"/>
      <c r="KI49" s="280"/>
      <c r="KJ49" s="280"/>
      <c r="KK49" s="280"/>
      <c r="KO49" s="8"/>
      <c r="KR49" s="282"/>
      <c r="KW49" s="344"/>
      <c r="KX49" s="81"/>
      <c r="KY49" s="378"/>
      <c r="KZ49" s="268"/>
      <c r="LB49" s="345">
        <v>13</v>
      </c>
      <c r="LC49" s="204" t="s">
        <v>830</v>
      </c>
      <c r="LD49" s="169" t="s">
        <v>23</v>
      </c>
      <c r="LE49" s="347" t="s">
        <v>847</v>
      </c>
      <c r="LF49" s="169"/>
      <c r="LG49" s="169"/>
      <c r="LH49" s="169"/>
      <c r="LI49" s="169"/>
      <c r="LJ49" s="169"/>
      <c r="LK49" s="169"/>
      <c r="LL49" s="169"/>
      <c r="LM49" s="169"/>
      <c r="LN49" s="348"/>
    </row>
    <row r="50" spans="1:391" ht="16.149999999999999" customHeight="1" thickBot="1" x14ac:dyDescent="0.3">
      <c r="S50" s="798"/>
      <c r="T50" s="1531"/>
      <c r="U50" s="1536" t="str">
        <f>BP50</f>
        <v xml:space="preserve"> </v>
      </c>
      <c r="V50" s="1511"/>
      <c r="W50" s="1511"/>
      <c r="X50" s="1140" t="str">
        <f>BP51</f>
        <v xml:space="preserve"> </v>
      </c>
      <c r="Y50" s="1139"/>
      <c r="Z50" s="1139"/>
      <c r="AA50" s="1139"/>
      <c r="AB50" s="1139"/>
      <c r="AC50" s="1139"/>
      <c r="AD50" s="1139"/>
      <c r="AE50" s="1139"/>
      <c r="AF50" s="1139"/>
      <c r="AG50" s="1139"/>
      <c r="AH50" s="1139"/>
      <c r="AI50" s="1139"/>
      <c r="AJ50" s="1139"/>
      <c r="AK50" s="1139"/>
      <c r="AL50" s="1115" t="s">
        <v>848</v>
      </c>
      <c r="AM50" s="406" t="str">
        <f>IR74</f>
        <v xml:space="preserve"> </v>
      </c>
      <c r="AN50" s="407" t="str">
        <f>IP74</f>
        <v/>
      </c>
      <c r="AO50" s="888"/>
      <c r="AP50" s="719"/>
      <c r="AQ50" s="719"/>
      <c r="AR50" s="285"/>
      <c r="AS50" s="720"/>
      <c r="AT50" s="719"/>
      <c r="AU50" s="126"/>
      <c r="AV50" s="373"/>
      <c r="AW50" s="653"/>
      <c r="AX50" s="78">
        <f t="shared" si="279"/>
        <v>0</v>
      </c>
      <c r="AY50" s="78">
        <f t="shared" si="280"/>
        <v>0</v>
      </c>
      <c r="AZ50" s="78">
        <f t="shared" si="281"/>
        <v>0</v>
      </c>
      <c r="BA50" s="78">
        <f t="shared" si="282"/>
        <v>0</v>
      </c>
      <c r="BB50" s="78">
        <f t="shared" si="283"/>
        <v>0</v>
      </c>
      <c r="BC50" s="78">
        <f t="shared" si="284"/>
        <v>0</v>
      </c>
      <c r="BD50" s="78">
        <f t="shared" si="285"/>
        <v>0</v>
      </c>
      <c r="BE50" s="78">
        <f t="shared" si="286"/>
        <v>0</v>
      </c>
      <c r="BF50" s="78">
        <f t="shared" si="287"/>
        <v>0</v>
      </c>
      <c r="BG50" s="78">
        <f t="shared" si="288"/>
        <v>0</v>
      </c>
      <c r="BH50" s="78">
        <f t="shared" si="289"/>
        <v>0</v>
      </c>
      <c r="BI50" s="78">
        <f t="shared" si="290"/>
        <v>0</v>
      </c>
      <c r="BJ50" s="78">
        <f t="shared" ref="BJ50:BJ60" si="291">SUM(AX50:BI50)</f>
        <v>0</v>
      </c>
      <c r="BK50" s="78">
        <f t="shared" ref="BK50:BK51" si="292">COUNT(AE36)</f>
        <v>0</v>
      </c>
      <c r="BM50" s="277"/>
      <c r="BN50" s="277"/>
      <c r="BO50" s="277"/>
      <c r="BP50" s="1141" t="str">
        <f>IF(BP54=6,BQ50," ")</f>
        <v xml:space="preserve"> </v>
      </c>
      <c r="BQ50" s="436" t="s">
        <v>1143</v>
      </c>
      <c r="BR50" s="81"/>
      <c r="BS50" s="81"/>
      <c r="BT50" s="81"/>
      <c r="BU50" s="81"/>
      <c r="BV50" s="81"/>
      <c r="BW50" s="81"/>
      <c r="BX50" s="81"/>
      <c r="BY50" s="81"/>
      <c r="BZ50" s="81"/>
      <c r="CA50" s="263"/>
      <c r="CB50" s="263"/>
      <c r="CC50" s="263" t="s">
        <v>849</v>
      </c>
      <c r="CD50" s="263"/>
      <c r="CE50" s="263"/>
      <c r="CF50" s="263"/>
      <c r="CG50" s="263"/>
      <c r="CH50" s="263"/>
      <c r="CI50" s="263"/>
      <c r="CJ50" s="263"/>
      <c r="CK50" s="263"/>
      <c r="CL50" s="263"/>
      <c r="CM50" s="263"/>
      <c r="CN50" s="408">
        <f>IF(CN49=0,"no action",1)</f>
        <v>1</v>
      </c>
      <c r="CO50" s="408"/>
      <c r="CP50" s="392"/>
      <c r="CQ50" s="392"/>
      <c r="CS50" s="410" t="e">
        <f>$CM48-CT48</f>
        <v>#NUM!</v>
      </c>
      <c r="CT50" s="392"/>
      <c r="CU50" s="409">
        <f>IF(CU49=0,"no action",1)</f>
        <v>1</v>
      </c>
      <c r="CV50" s="410"/>
      <c r="CW50" s="392"/>
      <c r="CX50" s="392"/>
      <c r="CZ50" s="410" t="e">
        <f>$CM48-DA48</f>
        <v>#NUM!</v>
      </c>
      <c r="DA50" s="404"/>
      <c r="DB50" s="409">
        <f>IF(DB49=0,"no action",1)</f>
        <v>1</v>
      </c>
      <c r="DC50" s="410"/>
      <c r="DD50" s="392"/>
      <c r="DE50" s="392"/>
      <c r="DG50" s="410" t="e">
        <f>$CM48-DH48</f>
        <v>#NUM!</v>
      </c>
      <c r="DH50" s="404"/>
      <c r="DI50" s="409">
        <f>IF(DI49=0,"no action",1)</f>
        <v>1</v>
      </c>
      <c r="DJ50" s="410"/>
      <c r="DK50" s="392"/>
      <c r="DL50" s="392"/>
      <c r="DN50" s="410" t="e">
        <f>$CM48-DO48</f>
        <v>#NUM!</v>
      </c>
      <c r="DO50" s="404"/>
      <c r="DP50" s="404"/>
      <c r="DQ50" s="404"/>
      <c r="DR50" s="263"/>
      <c r="DS50" s="263"/>
      <c r="DT50" s="263"/>
      <c r="DU50" s="263"/>
      <c r="DV50" s="263"/>
      <c r="DW50" s="263"/>
      <c r="DX50" s="263"/>
      <c r="DY50" s="263"/>
      <c r="DZ50" s="263"/>
      <c r="EE50" s="586">
        <f>IF(EE49=0,"no action",1)</f>
        <v>1</v>
      </c>
      <c r="EF50" s="408"/>
      <c r="EG50" s="392"/>
      <c r="EH50" s="392"/>
      <c r="EJ50" s="410" t="e">
        <f>$ED48-EK48</f>
        <v>#NUM!</v>
      </c>
      <c r="EL50" s="586">
        <f>IF(EL49=0,"no action",1)</f>
        <v>1</v>
      </c>
      <c r="EM50" s="408"/>
      <c r="EN50" s="392"/>
      <c r="EO50" s="392"/>
      <c r="EQ50" s="410" t="e">
        <f>$ED48-ER48</f>
        <v>#NUM!</v>
      </c>
      <c r="ER50" s="392"/>
      <c r="ES50" s="586">
        <f>IF(ES49=0,"no action",1)</f>
        <v>1</v>
      </c>
      <c r="ET50" s="408"/>
      <c r="EU50" s="392"/>
      <c r="EV50" s="392"/>
      <c r="EX50" s="410" t="e">
        <f>$ED48-EY48</f>
        <v>#NUM!</v>
      </c>
      <c r="EY50" s="392"/>
      <c r="EZ50" s="586">
        <f>IF(EZ49=0,"no action",1)</f>
        <v>1</v>
      </c>
      <c r="FA50" s="408"/>
      <c r="FB50" s="392"/>
      <c r="FC50" s="392"/>
      <c r="FE50" s="410" t="e">
        <f>$ED48-FF48</f>
        <v>#NUM!</v>
      </c>
      <c r="FF50" s="392"/>
      <c r="FG50" s="586">
        <f>IF(FG49=0,"no action",1)</f>
        <v>1</v>
      </c>
      <c r="FH50" s="408"/>
      <c r="FI50" s="392"/>
      <c r="FJ50" s="392"/>
      <c r="FL50" s="410" t="e">
        <f>$ED48-FM48</f>
        <v>#NUM!</v>
      </c>
      <c r="FM50" s="392"/>
      <c r="FN50" s="586">
        <f>IF(FN49=0,"no action",1)</f>
        <v>1</v>
      </c>
      <c r="FO50" s="408"/>
      <c r="FP50" s="392"/>
      <c r="FQ50" s="392"/>
      <c r="FS50" s="410" t="e">
        <f>$ED48-FT48</f>
        <v>#NUM!</v>
      </c>
      <c r="FT50" s="392"/>
      <c r="FU50" s="586">
        <f>IF(FU49=0,"no action",1)</f>
        <v>1</v>
      </c>
      <c r="FV50" s="408"/>
      <c r="FW50" s="392"/>
      <c r="FX50" s="392"/>
      <c r="FZ50" s="410" t="e">
        <f>$ED48-GA48</f>
        <v>#NUM!</v>
      </c>
      <c r="GA50" s="392"/>
      <c r="GB50" s="586">
        <f>IF(GB49=0,"no action",1)</f>
        <v>1</v>
      </c>
      <c r="GC50" s="408"/>
      <c r="GD50" s="392"/>
      <c r="GE50" s="392"/>
      <c r="GG50" s="410" t="e">
        <f>$ED48-GH48</f>
        <v>#NUM!</v>
      </c>
      <c r="GH50" s="392"/>
      <c r="GI50" s="392"/>
      <c r="GJ50" s="392"/>
      <c r="GK50" s="263"/>
      <c r="GL50" s="263"/>
      <c r="GM50" s="263"/>
      <c r="GN50" s="263"/>
      <c r="GO50" s="263"/>
      <c r="GP50" s="263"/>
      <c r="GQ50" s="263"/>
      <c r="GR50" s="263"/>
      <c r="GS50" s="263"/>
      <c r="GT50" s="263"/>
      <c r="GU50" s="263"/>
      <c r="GV50" s="408"/>
      <c r="GW50" s="392"/>
      <c r="GX50" s="408">
        <f>IF(GX49=0,"no action",1)</f>
        <v>1</v>
      </c>
      <c r="GY50" s="392"/>
      <c r="GZ50" s="392"/>
      <c r="HA50" s="392"/>
      <c r="HC50" s="410" t="e">
        <f>$GW48-HD48</f>
        <v>#NUM!</v>
      </c>
      <c r="HD50" s="392"/>
      <c r="HE50" s="586">
        <f>IF(HE49=0,"no action",1)</f>
        <v>1</v>
      </c>
      <c r="HF50" s="392"/>
      <c r="HG50" s="392"/>
      <c r="HH50" s="392"/>
      <c r="HJ50" s="410" t="e">
        <f>$GW48-HK48</f>
        <v>#NUM!</v>
      </c>
      <c r="HK50" s="392"/>
      <c r="HL50" s="409">
        <f>IF(HL49=0,"no action",1)</f>
        <v>1</v>
      </c>
      <c r="HM50" s="392"/>
      <c r="HN50" s="392"/>
      <c r="HO50" s="251"/>
      <c r="HQ50" s="410" t="e">
        <f>$GW48-HR48</f>
        <v>#NUM!</v>
      </c>
      <c r="HR50" s="263"/>
      <c r="HS50" s="408">
        <f>IF(HS49=0,"no action",1)</f>
        <v>1</v>
      </c>
      <c r="HT50" s="392"/>
      <c r="HU50" s="392"/>
      <c r="HV50" s="392"/>
      <c r="HX50" s="410" t="e">
        <f>$GW48-HY48</f>
        <v>#NUM!</v>
      </c>
      <c r="HY50" s="392"/>
      <c r="HZ50" s="408">
        <f>IF(HZ49=0,"no action",1)</f>
        <v>1</v>
      </c>
      <c r="IA50" s="392"/>
      <c r="IB50" s="392"/>
      <c r="IC50" s="392"/>
      <c r="IE50" s="410" t="e">
        <f>$GW48-IF48</f>
        <v>#NUM!</v>
      </c>
      <c r="IF50" s="392"/>
      <c r="IG50" s="263"/>
      <c r="IH50" s="263"/>
      <c r="II50" s="263"/>
      <c r="IJ50" s="81"/>
      <c r="IK50" s="44"/>
      <c r="IL50" s="44"/>
      <c r="IM50" s="280">
        <f t="shared" si="262"/>
        <v>16</v>
      </c>
      <c r="IN50" s="385">
        <f>AH118</f>
        <v>0</v>
      </c>
      <c r="IO50" s="196" t="str">
        <f t="shared" si="154"/>
        <v xml:space="preserve"> </v>
      </c>
      <c r="IP50" s="342" t="str">
        <f t="shared" si="155"/>
        <v xml:space="preserve"> </v>
      </c>
      <c r="IQ50" s="280">
        <f t="shared" si="156"/>
        <v>0</v>
      </c>
      <c r="IR50" s="196">
        <f>AF38</f>
        <v>0</v>
      </c>
      <c r="IS50" s="280">
        <f t="shared" si="82"/>
        <v>1</v>
      </c>
      <c r="IT50" s="280">
        <f t="shared" si="83"/>
        <v>0</v>
      </c>
      <c r="IU50" s="280">
        <f t="shared" si="84"/>
        <v>0</v>
      </c>
      <c r="IV50" s="280">
        <f t="shared" si="85"/>
        <v>0</v>
      </c>
      <c r="IW50" s="280">
        <f t="shared" si="86"/>
        <v>0</v>
      </c>
      <c r="IX50" s="280">
        <f t="shared" si="87"/>
        <v>0</v>
      </c>
      <c r="IY50" s="280">
        <f t="shared" si="88"/>
        <v>0</v>
      </c>
      <c r="IZ50" s="280">
        <f t="shared" si="89"/>
        <v>0</v>
      </c>
      <c r="JA50" s="280">
        <f t="shared" si="90"/>
        <v>0</v>
      </c>
      <c r="JB50" s="280">
        <f t="shared" si="91"/>
        <v>0</v>
      </c>
      <c r="JC50" s="280">
        <f t="shared" si="92"/>
        <v>0</v>
      </c>
      <c r="JD50" s="280">
        <f t="shared" si="93"/>
        <v>0</v>
      </c>
      <c r="JE50" s="280">
        <f t="shared" si="94"/>
        <v>0</v>
      </c>
      <c r="JF50" s="280">
        <f t="shared" si="95"/>
        <v>0</v>
      </c>
      <c r="JG50" s="280">
        <f t="shared" si="96"/>
        <v>0</v>
      </c>
      <c r="JH50" s="280">
        <f t="shared" si="97"/>
        <v>0</v>
      </c>
      <c r="JI50" s="280">
        <f t="shared" si="98"/>
        <v>0</v>
      </c>
      <c r="JJ50" s="280">
        <f t="shared" si="99"/>
        <v>0</v>
      </c>
      <c r="JK50" s="280">
        <f t="shared" si="100"/>
        <v>0</v>
      </c>
      <c r="JL50" s="280">
        <f t="shared" si="101"/>
        <v>0</v>
      </c>
      <c r="JM50" s="280">
        <f t="shared" si="102"/>
        <v>0</v>
      </c>
      <c r="JN50" s="280">
        <f t="shared" si="103"/>
        <v>0</v>
      </c>
      <c r="JO50" s="280">
        <f t="shared" si="104"/>
        <v>0</v>
      </c>
      <c r="JP50" s="280">
        <f t="shared" si="105"/>
        <v>0</v>
      </c>
      <c r="JQ50" s="280">
        <f t="shared" si="106"/>
        <v>0</v>
      </c>
      <c r="JR50" s="280">
        <f t="shared" si="107"/>
        <v>0</v>
      </c>
      <c r="JS50" s="44">
        <f t="shared" si="157"/>
        <v>1</v>
      </c>
      <c r="JT50" s="343" t="str">
        <f t="shared" si="158"/>
        <v>F</v>
      </c>
      <c r="JU50" s="44"/>
      <c r="JV50" s="280">
        <f t="shared" si="159"/>
        <v>1</v>
      </c>
      <c r="JW50" s="280">
        <f t="shared" si="108"/>
        <v>0</v>
      </c>
      <c r="JX50" s="280">
        <f t="shared" si="109"/>
        <v>0</v>
      </c>
      <c r="JY50" s="280">
        <f t="shared" si="110"/>
        <v>0</v>
      </c>
      <c r="JZ50" s="280">
        <f t="shared" si="111"/>
        <v>0</v>
      </c>
      <c r="KA50" s="280">
        <f t="shared" si="112"/>
        <v>0</v>
      </c>
      <c r="KB50" s="44">
        <f t="shared" si="160"/>
        <v>1</v>
      </c>
      <c r="KC50" s="343" t="str">
        <f t="shared" si="161"/>
        <v>F</v>
      </c>
      <c r="KD50" s="280"/>
      <c r="KE50" s="280"/>
      <c r="KF50" s="280"/>
      <c r="KG50" s="280"/>
      <c r="KH50" s="280"/>
      <c r="KI50" s="280"/>
      <c r="KJ50" s="280"/>
      <c r="KK50" s="280"/>
      <c r="KO50" s="8"/>
      <c r="KR50" s="282"/>
      <c r="KW50" s="344"/>
      <c r="KX50" s="81"/>
      <c r="KY50" s="378"/>
      <c r="KZ50" s="8"/>
      <c r="LB50" s="345">
        <v>14</v>
      </c>
      <c r="LC50" s="204" t="s">
        <v>830</v>
      </c>
      <c r="LD50" s="169" t="s">
        <v>24</v>
      </c>
      <c r="LE50" s="347" t="s">
        <v>850</v>
      </c>
      <c r="LF50" s="169"/>
      <c r="LG50" s="169"/>
      <c r="LH50" s="169"/>
      <c r="LI50" s="169"/>
      <c r="LJ50" s="169"/>
      <c r="LK50" s="169"/>
      <c r="LL50" s="169"/>
      <c r="LM50" s="169"/>
      <c r="LN50" s="348"/>
    </row>
    <row r="51" spans="1:391" ht="16.149999999999999" customHeight="1" thickBot="1" x14ac:dyDescent="0.3">
      <c r="S51" s="798"/>
      <c r="T51" s="1531"/>
      <c r="U51" s="132"/>
      <c r="V51" s="132"/>
      <c r="W51" s="132"/>
      <c r="X51" s="801"/>
      <c r="Y51" s="801"/>
      <c r="Z51" s="801"/>
      <c r="AA51" s="40"/>
      <c r="AB51" s="801"/>
      <c r="AC51" s="801"/>
      <c r="AD51" s="801"/>
      <c r="AE51" s="132"/>
      <c r="AF51" s="411"/>
      <c r="AG51" s="801"/>
      <c r="AH51" s="342"/>
      <c r="AI51" s="412"/>
      <c r="AJ51" s="412"/>
      <c r="AK51" s="412"/>
      <c r="AL51" s="433"/>
      <c r="AM51" s="783"/>
      <c r="AN51" s="373"/>
      <c r="AO51" s="888"/>
      <c r="AP51" s="719"/>
      <c r="AQ51" s="719"/>
      <c r="AR51" s="285"/>
      <c r="AS51" s="720"/>
      <c r="AT51" s="719"/>
      <c r="AU51" s="126"/>
      <c r="AV51" s="373"/>
      <c r="AW51" s="653"/>
      <c r="AX51" s="78">
        <f t="shared" si="279"/>
        <v>0</v>
      </c>
      <c r="AY51" s="78">
        <f t="shared" si="280"/>
        <v>0</v>
      </c>
      <c r="AZ51" s="78">
        <f t="shared" si="281"/>
        <v>0</v>
      </c>
      <c r="BA51" s="78">
        <f t="shared" si="282"/>
        <v>0</v>
      </c>
      <c r="BB51" s="78">
        <f t="shared" si="283"/>
        <v>0</v>
      </c>
      <c r="BC51" s="78">
        <f t="shared" si="284"/>
        <v>0</v>
      </c>
      <c r="BD51" s="78">
        <f t="shared" si="285"/>
        <v>0</v>
      </c>
      <c r="BE51" s="78">
        <f t="shared" si="286"/>
        <v>0</v>
      </c>
      <c r="BF51" s="78">
        <f t="shared" si="287"/>
        <v>0</v>
      </c>
      <c r="BG51" s="78">
        <f t="shared" si="288"/>
        <v>0</v>
      </c>
      <c r="BH51" s="78">
        <f t="shared" si="289"/>
        <v>0</v>
      </c>
      <c r="BI51" s="78">
        <f t="shared" si="290"/>
        <v>0</v>
      </c>
      <c r="BJ51" s="78">
        <f t="shared" si="291"/>
        <v>0</v>
      </c>
      <c r="BK51" s="78">
        <f t="shared" si="292"/>
        <v>0</v>
      </c>
      <c r="BM51" s="277"/>
      <c r="BN51" s="277"/>
      <c r="BO51" s="277"/>
      <c r="BP51" s="1141" t="str">
        <f>IF(BP54=6,BQ51," ")</f>
        <v xml:space="preserve"> </v>
      </c>
      <c r="BQ51" s="634">
        <f>AVERAGE(BR37,BS37)</f>
        <v>0</v>
      </c>
      <c r="BR51" s="367">
        <f>ROUND(BQ51,2)</f>
        <v>0</v>
      </c>
      <c r="BS51" s="81"/>
      <c r="BT51" s="81"/>
      <c r="BU51" s="81"/>
      <c r="BV51" s="81"/>
      <c r="BW51" s="81"/>
      <c r="BX51" s="81"/>
      <c r="BY51" s="81"/>
      <c r="BZ51" s="81"/>
      <c r="CA51" s="81"/>
      <c r="CB51" s="81"/>
      <c r="CC51" s="81"/>
      <c r="CD51" s="81"/>
      <c r="CE51" s="81"/>
      <c r="CF51" s="81"/>
      <c r="CG51" s="81"/>
      <c r="CH51" s="81"/>
      <c r="CI51" s="81"/>
      <c r="CJ51" s="81"/>
      <c r="CK51" s="81"/>
      <c r="CL51" s="81"/>
      <c r="CM51" s="81"/>
      <c r="CN51" s="81"/>
      <c r="CO51" s="81"/>
      <c r="CP51" s="81"/>
      <c r="CQ51" s="81"/>
      <c r="CR51" s="623" t="s">
        <v>915</v>
      </c>
      <c r="CS51" s="625" t="e">
        <f>CS50/CS49</f>
        <v>#NUM!</v>
      </c>
      <c r="CT51" s="81"/>
      <c r="CU51" s="81"/>
      <c r="CV51" s="81"/>
      <c r="CW51" s="81"/>
      <c r="CX51" s="81"/>
      <c r="CY51" s="623" t="s">
        <v>915</v>
      </c>
      <c r="CZ51" s="626" t="e">
        <f>CZ50/CZ49</f>
        <v>#NUM!</v>
      </c>
      <c r="DA51" s="81"/>
      <c r="DB51" s="81"/>
      <c r="DC51" s="81"/>
      <c r="DD51" s="81"/>
      <c r="DE51" s="81"/>
      <c r="DF51" s="623" t="s">
        <v>915</v>
      </c>
      <c r="DG51" s="626" t="e">
        <f>DG50/DG49</f>
        <v>#NUM!</v>
      </c>
      <c r="DH51" s="81"/>
      <c r="DI51" s="81"/>
      <c r="DJ51" s="81"/>
      <c r="DK51" s="81"/>
      <c r="DL51" s="81"/>
      <c r="DM51" s="623" t="s">
        <v>915</v>
      </c>
      <c r="DN51" s="626" t="e">
        <f>DN50/DN49</f>
        <v>#NUM!</v>
      </c>
      <c r="DO51" s="81"/>
      <c r="DP51" s="81"/>
      <c r="DQ51" s="81"/>
      <c r="DR51" s="81"/>
      <c r="DS51" s="81"/>
      <c r="DT51" s="81"/>
      <c r="DU51" s="81"/>
      <c r="DV51" s="81"/>
      <c r="DW51" s="81"/>
      <c r="DX51" s="81"/>
      <c r="DY51" s="81"/>
      <c r="DZ51" s="81"/>
      <c r="EA51" s="263"/>
      <c r="EE51" s="81"/>
      <c r="EF51" s="81"/>
      <c r="EG51" s="81"/>
      <c r="EH51" s="81"/>
      <c r="EI51" s="623" t="s">
        <v>915</v>
      </c>
      <c r="EJ51" s="626" t="e">
        <f>EJ50/EJ49</f>
        <v>#NUM!</v>
      </c>
      <c r="EK51" s="492"/>
      <c r="EL51" s="268"/>
      <c r="EM51" s="268"/>
      <c r="EN51" s="216"/>
      <c r="EP51" s="623" t="s">
        <v>915</v>
      </c>
      <c r="EQ51" s="626" t="e">
        <f>EQ50/EQ49</f>
        <v>#NUM!</v>
      </c>
      <c r="ER51" s="500"/>
      <c r="ES51" s="499"/>
      <c r="EU51" s="81"/>
      <c r="EV51" s="81"/>
      <c r="EW51" s="623" t="s">
        <v>915</v>
      </c>
      <c r="EX51" s="626" t="e">
        <f>EX50/EX49</f>
        <v>#NUM!</v>
      </c>
      <c r="EY51" s="81"/>
      <c r="EZ51" s="81"/>
      <c r="FA51" s="81"/>
      <c r="FB51" s="81"/>
      <c r="FC51" s="81"/>
      <c r="FD51" s="623" t="s">
        <v>915</v>
      </c>
      <c r="FE51" s="626" t="e">
        <f>FE50/FE49</f>
        <v>#NUM!</v>
      </c>
      <c r="FF51" s="81"/>
      <c r="FG51" s="81"/>
      <c r="FH51" s="81"/>
      <c r="FI51" s="81"/>
      <c r="FJ51" s="81"/>
      <c r="FK51" s="623" t="s">
        <v>915</v>
      </c>
      <c r="FL51" s="626" t="e">
        <f>FL50/FL49</f>
        <v>#NUM!</v>
      </c>
      <c r="FM51" s="81"/>
      <c r="FN51" s="81"/>
      <c r="FO51" s="81"/>
      <c r="FP51" s="81"/>
      <c r="FQ51" s="81"/>
      <c r="FR51" s="623" t="s">
        <v>915</v>
      </c>
      <c r="FS51" s="626" t="e">
        <f>FS50/FS49</f>
        <v>#NUM!</v>
      </c>
      <c r="FT51" s="81"/>
      <c r="FU51" s="81"/>
      <c r="FV51" s="81"/>
      <c r="FW51" s="81"/>
      <c r="FX51" s="81"/>
      <c r="FY51" s="623" t="s">
        <v>915</v>
      </c>
      <c r="FZ51" s="626" t="e">
        <f>FZ50/FZ49</f>
        <v>#NUM!</v>
      </c>
      <c r="GA51" s="81"/>
      <c r="GB51" s="81"/>
      <c r="GC51" s="81"/>
      <c r="GD51" s="81"/>
      <c r="GE51" s="81"/>
      <c r="GF51" s="623" t="s">
        <v>915</v>
      </c>
      <c r="GG51" s="626" t="e">
        <f>GG50/GG49</f>
        <v>#NUM!</v>
      </c>
      <c r="GH51" s="81"/>
      <c r="GI51" s="81"/>
      <c r="GJ51" s="81"/>
      <c r="GK51" s="81"/>
      <c r="GL51" s="81"/>
      <c r="GM51" s="81"/>
      <c r="GN51" s="81"/>
      <c r="GO51" s="81"/>
      <c r="GP51" s="81"/>
      <c r="GQ51" s="81"/>
      <c r="GR51" s="81"/>
      <c r="GS51" s="81"/>
      <c r="GT51" s="81"/>
      <c r="GU51" s="81"/>
      <c r="GY51" s="81"/>
      <c r="GZ51" s="81"/>
      <c r="HA51" s="81"/>
      <c r="HB51" s="623" t="s">
        <v>915</v>
      </c>
      <c r="HC51" s="638" t="e">
        <f>HC50/HC49</f>
        <v>#NUM!</v>
      </c>
      <c r="HD51" s="81"/>
      <c r="HE51" s="588"/>
      <c r="HF51" s="81"/>
      <c r="HG51" s="81"/>
      <c r="HH51" s="81"/>
      <c r="HI51" s="623" t="s">
        <v>915</v>
      </c>
      <c r="HJ51" s="626" t="e">
        <f>HJ50/HJ49</f>
        <v>#NUM!</v>
      </c>
      <c r="HK51" s="81"/>
      <c r="HL51" s="81"/>
      <c r="HM51" s="81"/>
      <c r="HN51" s="81"/>
      <c r="HO51" s="81"/>
      <c r="HP51" s="623" t="s">
        <v>915</v>
      </c>
      <c r="HQ51" s="626" t="e">
        <f>HQ50/HQ49</f>
        <v>#NUM!</v>
      </c>
      <c r="HR51" s="81"/>
      <c r="HS51" s="81"/>
      <c r="HT51" s="81"/>
      <c r="HU51" s="81"/>
      <c r="HV51" s="81"/>
      <c r="HW51" s="623" t="s">
        <v>915</v>
      </c>
      <c r="HX51" s="626" t="e">
        <f>HX50/HX49</f>
        <v>#NUM!</v>
      </c>
      <c r="HY51" s="81"/>
      <c r="HZ51" s="81"/>
      <c r="IA51" s="81"/>
      <c r="IB51" s="81"/>
      <c r="IC51" s="81"/>
      <c r="ID51" s="623" t="s">
        <v>915</v>
      </c>
      <c r="IE51" s="626" t="e">
        <f>IE50/IE49</f>
        <v>#NUM!</v>
      </c>
      <c r="IF51" s="81"/>
      <c r="IG51" s="81"/>
      <c r="IH51" s="81"/>
      <c r="II51" s="81"/>
      <c r="IJ51" s="81"/>
      <c r="IK51" s="44"/>
      <c r="IL51" s="44"/>
      <c r="IM51" s="280">
        <f t="shared" si="262"/>
        <v>17</v>
      </c>
      <c r="IN51" s="385">
        <f>AH119</f>
        <v>0</v>
      </c>
      <c r="IO51" s="196" t="str">
        <f t="shared" si="154"/>
        <v xml:space="preserve"> </v>
      </c>
      <c r="IP51" s="342" t="str">
        <f t="shared" si="155"/>
        <v xml:space="preserve"> </v>
      </c>
      <c r="IQ51" s="280">
        <f t="shared" si="156"/>
        <v>0</v>
      </c>
      <c r="IR51" s="196">
        <f>AF39</f>
        <v>0</v>
      </c>
      <c r="IS51" s="280">
        <f t="shared" si="82"/>
        <v>1</v>
      </c>
      <c r="IT51" s="280">
        <f t="shared" si="83"/>
        <v>0</v>
      </c>
      <c r="IU51" s="280">
        <f t="shared" si="84"/>
        <v>0</v>
      </c>
      <c r="IV51" s="280">
        <f t="shared" si="85"/>
        <v>0</v>
      </c>
      <c r="IW51" s="280">
        <f t="shared" si="86"/>
        <v>0</v>
      </c>
      <c r="IX51" s="280">
        <f t="shared" si="87"/>
        <v>0</v>
      </c>
      <c r="IY51" s="280">
        <f t="shared" si="88"/>
        <v>0</v>
      </c>
      <c r="IZ51" s="280">
        <f t="shared" si="89"/>
        <v>0</v>
      </c>
      <c r="JA51" s="280">
        <f t="shared" si="90"/>
        <v>0</v>
      </c>
      <c r="JB51" s="280">
        <f t="shared" si="91"/>
        <v>0</v>
      </c>
      <c r="JC51" s="280">
        <f t="shared" si="92"/>
        <v>0</v>
      </c>
      <c r="JD51" s="280">
        <f t="shared" si="93"/>
        <v>0</v>
      </c>
      <c r="JE51" s="280">
        <f t="shared" si="94"/>
        <v>0</v>
      </c>
      <c r="JF51" s="280">
        <f t="shared" si="95"/>
        <v>0</v>
      </c>
      <c r="JG51" s="280">
        <f t="shared" si="96"/>
        <v>0</v>
      </c>
      <c r="JH51" s="280">
        <f t="shared" si="97"/>
        <v>0</v>
      </c>
      <c r="JI51" s="280">
        <f t="shared" si="98"/>
        <v>0</v>
      </c>
      <c r="JJ51" s="280">
        <f t="shared" si="99"/>
        <v>0</v>
      </c>
      <c r="JK51" s="280">
        <f t="shared" si="100"/>
        <v>0</v>
      </c>
      <c r="JL51" s="280">
        <f t="shared" si="101"/>
        <v>0</v>
      </c>
      <c r="JM51" s="280">
        <f t="shared" si="102"/>
        <v>0</v>
      </c>
      <c r="JN51" s="280">
        <f t="shared" si="103"/>
        <v>0</v>
      </c>
      <c r="JO51" s="280">
        <f t="shared" si="104"/>
        <v>0</v>
      </c>
      <c r="JP51" s="280">
        <f t="shared" si="105"/>
        <v>0</v>
      </c>
      <c r="JQ51" s="280">
        <f t="shared" si="106"/>
        <v>0</v>
      </c>
      <c r="JR51" s="280">
        <f t="shared" si="107"/>
        <v>0</v>
      </c>
      <c r="JS51" s="44">
        <f t="shared" si="157"/>
        <v>1</v>
      </c>
      <c r="JT51" s="343" t="str">
        <f t="shared" si="158"/>
        <v>F</v>
      </c>
      <c r="JU51" s="44"/>
      <c r="JV51" s="280">
        <f t="shared" si="159"/>
        <v>1</v>
      </c>
      <c r="JW51" s="280">
        <f t="shared" si="108"/>
        <v>0</v>
      </c>
      <c r="JX51" s="280">
        <f t="shared" si="109"/>
        <v>0</v>
      </c>
      <c r="JY51" s="280">
        <f t="shared" si="110"/>
        <v>0</v>
      </c>
      <c r="JZ51" s="280">
        <f t="shared" si="111"/>
        <v>0</v>
      </c>
      <c r="KA51" s="280">
        <f t="shared" si="112"/>
        <v>0</v>
      </c>
      <c r="KB51" s="44">
        <f t="shared" si="160"/>
        <v>1</v>
      </c>
      <c r="KC51" s="343" t="str">
        <f t="shared" si="161"/>
        <v>F</v>
      </c>
      <c r="KD51" s="280"/>
      <c r="KE51" s="280"/>
      <c r="KF51" s="280"/>
      <c r="KG51" s="280"/>
      <c r="KH51" s="280"/>
      <c r="KI51" s="280"/>
      <c r="KJ51" s="280"/>
      <c r="KK51" s="280"/>
      <c r="KO51" s="8"/>
      <c r="KW51" s="344"/>
      <c r="KX51" s="81"/>
      <c r="KY51" s="378"/>
      <c r="KZ51" s="8"/>
      <c r="LB51" s="68" t="s">
        <v>851</v>
      </c>
      <c r="LC51" s="312"/>
      <c r="LD51" s="312"/>
      <c r="LE51" s="312"/>
      <c r="LF51" s="312"/>
      <c r="LG51" s="312"/>
      <c r="LH51" s="312"/>
      <c r="LI51" s="312"/>
      <c r="LJ51" s="312"/>
      <c r="LK51" s="312"/>
      <c r="LL51" s="312"/>
      <c r="LM51" s="313"/>
      <c r="LN51" s="314"/>
    </row>
    <row r="52" spans="1:391" ht="16.149999999999999" customHeight="1" thickBot="1" x14ac:dyDescent="0.3">
      <c r="S52" s="798"/>
      <c r="T52" s="1531"/>
      <c r="U52" s="1111" t="s">
        <v>852</v>
      </c>
      <c r="V52" s="1112"/>
      <c r="W52" s="1112"/>
      <c r="X52" s="1112"/>
      <c r="Y52" s="1112"/>
      <c r="Z52" s="1077"/>
      <c r="AA52" s="1112"/>
      <c r="AB52" s="1113"/>
      <c r="AC52" s="1487" t="s">
        <v>950</v>
      </c>
      <c r="AD52" s="1488"/>
      <c r="AE52" s="1488"/>
      <c r="AF52" s="1489"/>
      <c r="AG52" s="1490" t="s">
        <v>807</v>
      </c>
      <c r="AH52" s="1491"/>
      <c r="AI52" s="1494" t="s">
        <v>992</v>
      </c>
      <c r="AJ52" s="1495"/>
      <c r="AK52" s="1498" t="s">
        <v>993</v>
      </c>
      <c r="AL52" s="801"/>
      <c r="AM52" s="784"/>
      <c r="AN52" s="373"/>
      <c r="AO52" s="888"/>
      <c r="AP52" s="719"/>
      <c r="AQ52" s="719"/>
      <c r="AR52" s="285"/>
      <c r="AS52" s="720"/>
      <c r="AT52" s="719"/>
      <c r="AU52" s="126"/>
      <c r="AV52" s="373"/>
      <c r="AW52" s="653"/>
      <c r="AX52" s="78">
        <f t="shared" si="279"/>
        <v>0</v>
      </c>
      <c r="AY52" s="78">
        <f t="shared" si="280"/>
        <v>0</v>
      </c>
      <c r="AZ52" s="78">
        <f t="shared" si="281"/>
        <v>0</v>
      </c>
      <c r="BA52" s="78">
        <f t="shared" si="282"/>
        <v>0</v>
      </c>
      <c r="BB52" s="78">
        <f t="shared" si="283"/>
        <v>0</v>
      </c>
      <c r="BC52" s="78">
        <f t="shared" si="284"/>
        <v>0</v>
      </c>
      <c r="BD52" s="78">
        <f t="shared" si="285"/>
        <v>0</v>
      </c>
      <c r="BE52" s="78">
        <f t="shared" si="286"/>
        <v>0</v>
      </c>
      <c r="BF52" s="78">
        <f t="shared" si="287"/>
        <v>0</v>
      </c>
      <c r="BG52" s="78">
        <f t="shared" si="288"/>
        <v>0</v>
      </c>
      <c r="BH52" s="78">
        <f t="shared" si="289"/>
        <v>0</v>
      </c>
      <c r="BI52" s="78">
        <f t="shared" si="290"/>
        <v>0</v>
      </c>
      <c r="BJ52" s="78">
        <f t="shared" si="291"/>
        <v>0</v>
      </c>
      <c r="BK52" s="78">
        <f t="shared" ref="BK52:BK60" si="293">COUNT(AE38)</f>
        <v>0</v>
      </c>
      <c r="BM52" s="277"/>
      <c r="BN52" s="277"/>
      <c r="BO52" s="277"/>
      <c r="BP52" s="277"/>
      <c r="BQ52" s="277"/>
      <c r="BR52" s="81"/>
      <c r="BS52" s="81"/>
      <c r="BT52" s="81"/>
      <c r="BU52" s="81"/>
      <c r="BV52" s="81"/>
      <c r="BW52" s="81"/>
      <c r="BX52" s="81"/>
      <c r="BY52" s="81"/>
      <c r="BZ52" s="81"/>
      <c r="CA52" s="81"/>
      <c r="CB52" s="81"/>
      <c r="CC52" s="81"/>
      <c r="CD52" s="81"/>
      <c r="CE52" s="81"/>
      <c r="CF52" s="81"/>
      <c r="CG52" s="81"/>
      <c r="CH52" s="81"/>
      <c r="CI52" s="81"/>
      <c r="CJ52" s="81"/>
      <c r="CK52" s="81"/>
      <c r="CL52" s="81"/>
      <c r="CM52" s="81"/>
      <c r="CN52" s="81"/>
      <c r="CO52" s="81"/>
      <c r="CP52" s="81"/>
      <c r="CQ52" s="81"/>
      <c r="CR52" s="81"/>
      <c r="CS52" s="81"/>
      <c r="CT52" s="81"/>
      <c r="CU52" s="81"/>
      <c r="CV52" s="81"/>
      <c r="CW52" s="81"/>
      <c r="CX52" s="81"/>
      <c r="CY52" s="81"/>
      <c r="CZ52" s="81"/>
      <c r="DA52" s="81"/>
      <c r="DB52" s="81"/>
      <c r="DC52" s="81"/>
      <c r="DD52" s="81"/>
      <c r="DE52" s="81"/>
      <c r="DF52" s="81"/>
      <c r="DG52" s="81"/>
      <c r="DH52" s="81"/>
      <c r="DI52" s="81"/>
      <c r="DJ52" s="81"/>
      <c r="DK52" s="81"/>
      <c r="DL52" s="81"/>
      <c r="DM52" s="81"/>
      <c r="DN52" s="81"/>
      <c r="DO52" s="81"/>
      <c r="DP52" s="81"/>
      <c r="DQ52" s="81"/>
      <c r="DR52" s="81"/>
      <c r="DS52" s="589" t="s">
        <v>357</v>
      </c>
      <c r="DT52" s="81"/>
      <c r="DU52" s="81"/>
      <c r="DV52" s="81"/>
      <c r="DW52" s="81"/>
      <c r="DX52" s="81"/>
      <c r="DY52" s="81"/>
      <c r="DZ52" s="81"/>
      <c r="EA52" s="81"/>
      <c r="EB52" s="81"/>
      <c r="EC52" s="81"/>
      <c r="ED52" s="81"/>
      <c r="EE52" s="81"/>
      <c r="EF52" s="81"/>
      <c r="EG52" s="81"/>
      <c r="EH52" s="81"/>
      <c r="EI52" s="81"/>
      <c r="EJ52" s="81"/>
      <c r="EK52" s="81"/>
      <c r="EL52" s="81"/>
      <c r="EM52" s="81"/>
      <c r="EN52" s="81"/>
      <c r="EO52" s="81"/>
      <c r="EP52" s="81"/>
      <c r="EQ52" s="81"/>
      <c r="ER52" s="81"/>
      <c r="ES52" s="81"/>
      <c r="ET52" s="81"/>
      <c r="EU52" s="81"/>
      <c r="EV52" s="81"/>
      <c r="EW52" s="81"/>
      <c r="EX52" s="81"/>
      <c r="EY52" s="81"/>
      <c r="EZ52" s="81"/>
      <c r="FA52" s="81"/>
      <c r="FB52" s="81"/>
      <c r="FC52" s="81"/>
      <c r="FD52" s="81"/>
      <c r="FE52" s="81"/>
      <c r="FF52" s="81"/>
      <c r="FG52" s="81"/>
      <c r="FH52" s="81"/>
      <c r="FI52" s="81"/>
      <c r="FJ52" s="81"/>
      <c r="FK52" s="81"/>
      <c r="FL52" s="81"/>
      <c r="FM52" s="81"/>
      <c r="FN52" s="81"/>
      <c r="FO52" s="81"/>
      <c r="FP52" s="81"/>
      <c r="FQ52" s="81"/>
      <c r="FR52" s="81"/>
      <c r="FS52" s="81"/>
      <c r="FT52" s="81"/>
      <c r="FU52" s="81"/>
      <c r="FV52" s="81"/>
      <c r="FW52" s="81"/>
      <c r="FX52" s="81"/>
      <c r="FY52" s="81"/>
      <c r="FZ52" s="650" t="e">
        <f>FZ50/FZ49</f>
        <v>#NUM!</v>
      </c>
      <c r="GA52" s="81"/>
      <c r="GB52" s="81"/>
      <c r="GC52" s="81"/>
      <c r="GD52" s="81"/>
      <c r="GE52" s="81"/>
      <c r="GF52" s="81"/>
      <c r="GG52" s="81"/>
      <c r="GH52" s="81"/>
      <c r="GI52" s="81"/>
      <c r="GJ52" s="81"/>
      <c r="GK52" s="81"/>
      <c r="GL52" s="81"/>
      <c r="GM52" s="81"/>
      <c r="GN52" s="81"/>
      <c r="GO52" s="81"/>
      <c r="GP52" s="81"/>
      <c r="GQ52" s="81"/>
      <c r="GR52" s="81"/>
      <c r="GS52" s="81"/>
      <c r="GT52" s="81"/>
      <c r="GU52" s="81"/>
      <c r="GV52" s="81"/>
      <c r="GW52" s="81"/>
      <c r="GX52" s="81"/>
      <c r="GY52" s="81"/>
      <c r="GZ52" s="81"/>
      <c r="HA52" s="81"/>
      <c r="HB52" s="81"/>
      <c r="HC52" s="81"/>
      <c r="HD52" s="81"/>
      <c r="HE52" s="81"/>
      <c r="HF52" s="81"/>
      <c r="HG52" s="81"/>
      <c r="HH52" s="81"/>
      <c r="HI52" s="628" t="s">
        <v>916</v>
      </c>
      <c r="HJ52" s="81" t="e">
        <f>IF(HJ51&gt;EQ51,1,0)</f>
        <v>#NUM!</v>
      </c>
      <c r="HK52" s="81"/>
      <c r="HL52" s="81"/>
      <c r="HM52" s="81"/>
      <c r="HN52" s="81"/>
      <c r="HO52" s="81"/>
      <c r="HP52" s="628" t="s">
        <v>919</v>
      </c>
      <c r="HQ52" s="81" t="e">
        <f>IF(HQ51&gt;EX51,1,0)</f>
        <v>#NUM!</v>
      </c>
      <c r="HR52" s="611" t="e">
        <f>IF(HQ51=EX51,1,0)</f>
        <v>#NUM!</v>
      </c>
      <c r="HS52" s="38" t="s">
        <v>926</v>
      </c>
      <c r="HT52" s="81"/>
      <c r="HU52" s="81"/>
      <c r="HV52" s="81"/>
      <c r="HW52" s="628" t="s">
        <v>918</v>
      </c>
      <c r="HX52" s="81" t="e">
        <f>IF(HX51&gt;FZ51,1,0)</f>
        <v>#NUM!</v>
      </c>
      <c r="HY52" s="81"/>
      <c r="HZ52" s="81"/>
      <c r="IA52" s="81"/>
      <c r="IB52" s="81"/>
      <c r="ID52" s="628" t="s">
        <v>917</v>
      </c>
      <c r="IE52" s="81" t="e">
        <f>IF(IE51&gt;FS51,1,0)</f>
        <v>#NUM!</v>
      </c>
      <c r="IF52" s="81"/>
      <c r="IG52" s="328" t="s">
        <v>29</v>
      </c>
      <c r="IH52" s="81"/>
      <c r="II52" s="81"/>
      <c r="IJ52" s="81"/>
      <c r="IK52" s="44"/>
      <c r="IL52" s="44"/>
      <c r="IM52" s="280">
        <f>IM51+1</f>
        <v>18</v>
      </c>
      <c r="IN52" s="385">
        <f t="shared" ref="IN52:IN54" si="294">AH120</f>
        <v>0</v>
      </c>
      <c r="IO52" s="196" t="str">
        <f t="shared" si="154"/>
        <v xml:space="preserve"> </v>
      </c>
      <c r="IP52" s="342" t="str">
        <f t="shared" si="155"/>
        <v xml:space="preserve"> </v>
      </c>
      <c r="IQ52" s="280">
        <f t="shared" si="156"/>
        <v>0</v>
      </c>
      <c r="IR52" s="196">
        <f t="shared" ref="IR52:IR54" si="295">AF40</f>
        <v>0</v>
      </c>
      <c r="IS52" s="280">
        <f t="shared" ref="IS52:IS74" si="296">IF(AND($IR52&gt;=$IS$30,$IR52&lt;$IT$30),IS$32,0)</f>
        <v>1</v>
      </c>
      <c r="IT52" s="280">
        <f t="shared" ref="IT52:IT74" si="297">IF(AND($IR52&gt;=$IT$30,$IR52&lt;$IU$30),IT$32,0)</f>
        <v>0</v>
      </c>
      <c r="IU52" s="280">
        <f t="shared" ref="IU52:IU74" si="298">IF(AND($IR52&gt;=$IU$30,$IR52&lt;$IV$30),IU$32,0)</f>
        <v>0</v>
      </c>
      <c r="IV52" s="280">
        <f t="shared" ref="IV52:IV74" si="299">IF(AND($IR52&gt;=$IV$30,$IR52&lt;$IW$30),IV$32,0)</f>
        <v>0</v>
      </c>
      <c r="IW52" s="280">
        <f t="shared" ref="IW52:IW74" si="300">IF(AND($IR52&gt;=$IW$30,$IR52&lt;$IX$30),IW$32,0)</f>
        <v>0</v>
      </c>
      <c r="IX52" s="280">
        <f t="shared" ref="IX52:IX74" si="301">IF(AND($IR52&gt;=$IX$30,$IR52&lt;$IY$30),IX$32,0)</f>
        <v>0</v>
      </c>
      <c r="IY52" s="280">
        <f t="shared" ref="IY52:IY74" si="302">IF(AND($IR52&gt;=$IY$30,$IR52&lt;$IZ$30),IY$32,0)</f>
        <v>0</v>
      </c>
      <c r="IZ52" s="280">
        <f t="shared" ref="IZ52:IZ74" si="303">IF(AND($IR52&gt;=$IZ$30,$IR52&lt;$JA$30),IZ$32,0)</f>
        <v>0</v>
      </c>
      <c r="JA52" s="280">
        <f t="shared" ref="JA52:JA74" si="304">IF(AND($IR52&gt;=$JA$30,$IR52&lt;$JB$30),JA$32,0)</f>
        <v>0</v>
      </c>
      <c r="JB52" s="280">
        <f t="shared" ref="JB52:JB74" si="305">IF(AND($IR52&gt;=$JB$30,$IR52&lt;$JC$30),JB$32,0)</f>
        <v>0</v>
      </c>
      <c r="JC52" s="280">
        <f t="shared" ref="JC52:JC74" si="306">IF(AND($IR52&gt;=$JC$30,$IR52&lt;$JD$30),JC$32,0)</f>
        <v>0</v>
      </c>
      <c r="JD52" s="280">
        <f t="shared" ref="JD52:JD74" si="307">IF(AND($IR52&gt;=$JD$30,$IR52&lt;$JE$30),JD$32,0)</f>
        <v>0</v>
      </c>
      <c r="JE52" s="280">
        <f t="shared" ref="JE52:JE74" si="308">IF(AND($IR52&gt;=$JE$30,$IR52&lt;$JF$30),JE$32,0)</f>
        <v>0</v>
      </c>
      <c r="JF52" s="280">
        <f t="shared" ref="JF52:JF74" si="309">IF(AND($IR52&gt;=$JF$30,$IR52&lt;$JG$30),JF$32,0)</f>
        <v>0</v>
      </c>
      <c r="JG52" s="280">
        <f t="shared" ref="JG52:JG74" si="310">IF(AND($IR52&gt;=$JG$30,$IR52&lt;$JH$30),JG$32,0)</f>
        <v>0</v>
      </c>
      <c r="JH52" s="280">
        <f t="shared" ref="JH52:JH74" si="311">IF(AND($IR52&gt;=$JH$30,$IR52&lt;$JI$30),JH$32,0)</f>
        <v>0</v>
      </c>
      <c r="JI52" s="280">
        <f t="shared" ref="JI52:JI74" si="312">IF(AND($IR52&gt;=$JI$30,$IR52&lt;$JJ$30),JI$32,0)</f>
        <v>0</v>
      </c>
      <c r="JJ52" s="280">
        <f t="shared" ref="JJ52:JJ74" si="313">IF(AND($IR52&gt;=$JJ$30,$IR52&lt;$JK$30),JJ$32,0)</f>
        <v>0</v>
      </c>
      <c r="JK52" s="280">
        <f t="shared" ref="JK52:JK74" si="314">IF(AND($IR52&gt;=$JK$30,$IR52&lt;$JL$30),JK$32,0)</f>
        <v>0</v>
      </c>
      <c r="JL52" s="280">
        <f t="shared" ref="JL52:JL74" si="315">IF(AND($IR52&gt;=$JL$30,$IR52&lt;$JM$30),JL$32,0)</f>
        <v>0</v>
      </c>
      <c r="JM52" s="280">
        <f t="shared" ref="JM52:JM74" si="316">IF(AND($IR52&gt;=$JM$30,$IR52&lt;$JN$30),JM$32,0)</f>
        <v>0</v>
      </c>
      <c r="JN52" s="280">
        <f t="shared" ref="JN52:JN74" si="317">IF(AND($IR52&gt;=$JN$30,$IR52&lt;$JO$30),JN$32,0)</f>
        <v>0</v>
      </c>
      <c r="JO52" s="280">
        <f t="shared" ref="JO52:JO74" si="318">IF(AND($IR52&gt;=$JO$30,$IR52&lt;$JP$30),JO$32,0)</f>
        <v>0</v>
      </c>
      <c r="JP52" s="280">
        <f t="shared" ref="JP52:JP74" si="319">IF(AND($IR52&gt;=$JP$30,$IR52&lt;$JQ$30),JP$32,0)</f>
        <v>0</v>
      </c>
      <c r="JQ52" s="280">
        <f t="shared" ref="JQ52:JQ74" si="320">IF(AND($IR52&gt;=$JQ$30,$IR52&lt;$JR$30),JQ$32,0)</f>
        <v>0</v>
      </c>
      <c r="JR52" s="280">
        <f t="shared" ref="JR52:JR74" si="321">IF(AND($IR52&gt;=$JR$30,$IR52&lt;$JS$30),JR$32,0)</f>
        <v>0</v>
      </c>
      <c r="JS52" s="44">
        <f t="shared" si="157"/>
        <v>1</v>
      </c>
      <c r="JT52" s="343" t="str">
        <f t="shared" si="158"/>
        <v>F</v>
      </c>
      <c r="JU52" s="44"/>
      <c r="JV52" s="280">
        <f t="shared" ref="JV52:JV74" si="322">IF(AND($IR52&gt;=$JV$30,$IR52&lt;$JW$30),JV$32,0)</f>
        <v>1</v>
      </c>
      <c r="JW52" s="280">
        <f t="shared" ref="JW52:JW74" si="323">IF(AND($IR52&gt;=$JW$30,$IR52&lt;$JX$30),JW$32,0)</f>
        <v>0</v>
      </c>
      <c r="JX52" s="280">
        <f t="shared" ref="JX52:JX74" si="324">IF(AND($IR52&gt;=$JX$30,$IR52&lt;$JY$30),JX$32,0)</f>
        <v>0</v>
      </c>
      <c r="JY52" s="280">
        <f t="shared" ref="JY52:JY74" si="325">IF(AND($IR52&gt;=$JY$30,$IR52&lt;$JZ$30),JY$32,0)</f>
        <v>0</v>
      </c>
      <c r="JZ52" s="280">
        <f t="shared" ref="JZ52:JZ74" si="326">IF(AND($IR52&gt;=$JZ$30,$IR52&lt;$KA$30),JZ$32,0)</f>
        <v>0</v>
      </c>
      <c r="KA52" s="280">
        <f t="shared" ref="KA52:KA74" si="327">IF(AND($IR52&gt;=$KA$30,$IR52&lt;$KB$30),KA$32,0)</f>
        <v>0</v>
      </c>
      <c r="KB52" s="44">
        <f t="shared" si="160"/>
        <v>1</v>
      </c>
      <c r="KC52" s="343" t="str">
        <f t="shared" si="161"/>
        <v>F</v>
      </c>
      <c r="KD52" s="280"/>
      <c r="KE52" s="280"/>
      <c r="KF52" s="280"/>
      <c r="KG52" s="280"/>
      <c r="KH52" s="280"/>
      <c r="KI52" s="280"/>
      <c r="KJ52" s="280"/>
      <c r="KK52" s="280"/>
      <c r="KO52" s="8"/>
      <c r="KT52" s="328"/>
      <c r="KW52" s="344"/>
      <c r="KX52" s="81"/>
      <c r="KY52" s="378"/>
      <c r="KZ52" s="8"/>
      <c r="LB52" s="345">
        <v>15</v>
      </c>
      <c r="LC52" s="204" t="s">
        <v>830</v>
      </c>
      <c r="LD52" s="169" t="s">
        <v>23</v>
      </c>
      <c r="LE52" s="347" t="s">
        <v>612</v>
      </c>
      <c r="LF52" s="169"/>
      <c r="LG52" s="169"/>
      <c r="LH52" s="169"/>
      <c r="LI52" s="169"/>
      <c r="LJ52" s="169"/>
      <c r="LK52" s="169"/>
      <c r="LL52" s="169"/>
      <c r="LM52" s="169"/>
      <c r="LN52" s="348"/>
    </row>
    <row r="53" spans="1:391" ht="16.149999999999999" customHeight="1" thickBot="1" x14ac:dyDescent="0.3">
      <c r="A53" s="218"/>
      <c r="B53" s="220"/>
      <c r="C53" s="220"/>
      <c r="D53" s="220"/>
      <c r="E53" s="220"/>
      <c r="F53" s="220"/>
      <c r="G53" s="1049"/>
      <c r="H53" s="1049"/>
      <c r="I53" s="1049"/>
      <c r="J53" s="1049"/>
      <c r="K53" s="1049"/>
      <c r="L53" s="1049"/>
      <c r="M53" s="1049"/>
      <c r="N53" s="1049"/>
      <c r="O53" s="1049"/>
      <c r="P53" s="1049" t="s">
        <v>29</v>
      </c>
      <c r="Q53" s="1049" t="s">
        <v>29</v>
      </c>
      <c r="R53" s="4"/>
      <c r="S53" s="798"/>
      <c r="T53" s="1531"/>
      <c r="U53" s="1078" t="s">
        <v>955</v>
      </c>
      <c r="V53" s="1030"/>
      <c r="W53" s="1045"/>
      <c r="X53" s="1079"/>
      <c r="Y53" s="1080" t="s">
        <v>948</v>
      </c>
      <c r="Z53" s="1082" t="s">
        <v>1127</v>
      </c>
      <c r="AA53" s="1500" t="s">
        <v>991</v>
      </c>
      <c r="AB53" s="1501"/>
      <c r="AC53" s="1120" t="s">
        <v>13</v>
      </c>
      <c r="AD53" s="698" t="s">
        <v>14</v>
      </c>
      <c r="AE53" s="698" t="s">
        <v>15</v>
      </c>
      <c r="AF53" s="698" t="s">
        <v>949</v>
      </c>
      <c r="AG53" s="1492"/>
      <c r="AH53" s="1493"/>
      <c r="AI53" s="1496"/>
      <c r="AJ53" s="1497"/>
      <c r="AK53" s="1499"/>
      <c r="AL53" s="801"/>
      <c r="AM53" s="801"/>
      <c r="AN53" s="801"/>
      <c r="AO53" s="888"/>
      <c r="AP53" s="719"/>
      <c r="AQ53" s="719"/>
      <c r="AR53" s="285"/>
      <c r="AS53" s="720"/>
      <c r="AT53" s="719"/>
      <c r="AU53" s="126"/>
      <c r="AV53" s="373"/>
      <c r="AW53" s="653"/>
      <c r="AX53" s="78">
        <f t="shared" si="279"/>
        <v>0</v>
      </c>
      <c r="AY53" s="78">
        <f t="shared" si="280"/>
        <v>0</v>
      </c>
      <c r="AZ53" s="78">
        <f t="shared" si="281"/>
        <v>0</v>
      </c>
      <c r="BA53" s="78">
        <f t="shared" si="282"/>
        <v>0</v>
      </c>
      <c r="BB53" s="78">
        <f t="shared" si="283"/>
        <v>0</v>
      </c>
      <c r="BC53" s="78">
        <f t="shared" si="284"/>
        <v>0</v>
      </c>
      <c r="BD53" s="78">
        <f t="shared" si="285"/>
        <v>0</v>
      </c>
      <c r="BE53" s="78">
        <f t="shared" si="286"/>
        <v>0</v>
      </c>
      <c r="BF53" s="78">
        <f t="shared" si="287"/>
        <v>0</v>
      </c>
      <c r="BG53" s="78">
        <f t="shared" si="288"/>
        <v>0</v>
      </c>
      <c r="BH53" s="78">
        <f t="shared" si="289"/>
        <v>0</v>
      </c>
      <c r="BI53" s="78">
        <f t="shared" si="290"/>
        <v>0</v>
      </c>
      <c r="BJ53" s="78">
        <f t="shared" si="291"/>
        <v>0</v>
      </c>
      <c r="BK53" s="78">
        <f t="shared" si="293"/>
        <v>0</v>
      </c>
      <c r="BM53" s="277"/>
      <c r="BN53" s="277"/>
      <c r="BO53" s="277"/>
      <c r="BP53" s="277"/>
      <c r="BQ53" s="277"/>
      <c r="BR53" s="81"/>
      <c r="BS53" s="81"/>
      <c r="BT53" s="81"/>
      <c r="BU53" s="81"/>
      <c r="BV53" s="81"/>
      <c r="BW53" s="81"/>
      <c r="BX53" s="81"/>
      <c r="BY53" s="81"/>
      <c r="BZ53" s="81"/>
      <c r="CA53" s="81"/>
      <c r="CB53" s="81"/>
      <c r="CC53" s="81"/>
      <c r="CD53" s="81"/>
      <c r="CE53" s="81"/>
      <c r="CF53" s="81"/>
      <c r="CG53" s="81"/>
      <c r="CH53" s="81"/>
      <c r="CI53" s="81"/>
      <c r="CJ53" s="81"/>
      <c r="CK53" s="81"/>
      <c r="CL53" s="81"/>
      <c r="CM53" s="81"/>
      <c r="CN53" s="81"/>
      <c r="CO53" s="81"/>
      <c r="CP53" s="81"/>
      <c r="CQ53" s="81"/>
      <c r="CR53" s="81"/>
      <c r="CS53" s="81"/>
      <c r="CT53" s="81"/>
      <c r="CU53" s="81"/>
      <c r="CV53" s="81"/>
      <c r="CW53" s="81"/>
      <c r="CX53" s="81"/>
      <c r="CY53" s="81"/>
      <c r="CZ53" s="81"/>
      <c r="DA53" s="81"/>
      <c r="DB53" s="81"/>
      <c r="DC53" s="81"/>
      <c r="DD53" s="81"/>
      <c r="DE53" s="81"/>
      <c r="DF53" s="81"/>
      <c r="DG53" s="81"/>
      <c r="DH53" s="81"/>
      <c r="DI53" s="81"/>
      <c r="DJ53" s="81"/>
      <c r="DK53" s="81"/>
      <c r="DL53" s="81"/>
      <c r="DM53" s="81"/>
      <c r="DN53" s="81"/>
      <c r="DO53" s="81"/>
      <c r="DP53" s="81"/>
      <c r="DQ53" s="417"/>
      <c r="DR53" s="263"/>
      <c r="DS53" s="339" t="s">
        <v>14</v>
      </c>
      <c r="DT53" s="418">
        <v>1</v>
      </c>
      <c r="DU53" s="419">
        <v>2</v>
      </c>
      <c r="DV53" s="420">
        <v>3</v>
      </c>
      <c r="DW53" s="419">
        <v>4</v>
      </c>
      <c r="DX53" s="419">
        <v>5</v>
      </c>
      <c r="DY53" s="419">
        <v>6</v>
      </c>
      <c r="DZ53" s="419">
        <v>7</v>
      </c>
      <c r="EA53" s="419">
        <v>8</v>
      </c>
      <c r="EB53" s="419">
        <v>100</v>
      </c>
      <c r="EC53" s="334"/>
      <c r="ED53" s="334" t="s">
        <v>818</v>
      </c>
      <c r="EE53" s="336">
        <v>100</v>
      </c>
      <c r="EF53" s="337" t="s">
        <v>820</v>
      </c>
      <c r="EG53" s="336"/>
      <c r="EH53" s="336"/>
      <c r="EI53" s="336"/>
      <c r="EJ53" s="336"/>
      <c r="EK53" s="336"/>
      <c r="EL53" s="336"/>
      <c r="EM53" s="336"/>
      <c r="EN53" s="337"/>
      <c r="EO53" s="81"/>
      <c r="EP53" s="81"/>
      <c r="EQ53" s="81"/>
      <c r="ER53" s="81"/>
      <c r="ES53" s="81"/>
      <c r="ET53" s="81"/>
      <c r="EU53" s="81"/>
      <c r="EV53" s="81"/>
      <c r="EW53" s="81"/>
      <c r="EX53" s="81"/>
      <c r="EY53" s="81"/>
      <c r="EZ53" s="81"/>
      <c r="FA53" s="81"/>
      <c r="FB53" s="81"/>
      <c r="FC53" s="81"/>
      <c r="FD53" s="81"/>
      <c r="FE53" s="81"/>
      <c r="FF53" s="81"/>
      <c r="FG53" s="81"/>
      <c r="FH53" s="81"/>
      <c r="FI53" s="81"/>
      <c r="FJ53" s="81"/>
      <c r="FK53" s="81"/>
      <c r="FL53" s="81"/>
      <c r="FM53" s="81"/>
      <c r="FN53" s="81"/>
      <c r="FO53" s="81"/>
      <c r="FP53" s="81"/>
      <c r="FQ53" s="81"/>
      <c r="FR53" s="81"/>
      <c r="FS53" s="81"/>
      <c r="FT53" s="81"/>
      <c r="FU53" s="81"/>
      <c r="FV53" s="81"/>
      <c r="FW53" s="81"/>
      <c r="FX53" s="81"/>
      <c r="FY53" s="81"/>
      <c r="FZ53" s="81"/>
      <c r="GA53" s="81"/>
      <c r="GB53" s="81"/>
      <c r="GC53" s="81"/>
      <c r="GD53" s="81"/>
      <c r="GE53" s="81"/>
      <c r="GF53" s="81"/>
      <c r="GG53" s="81"/>
      <c r="GH53" s="81"/>
      <c r="GI53" s="81"/>
      <c r="GJ53" s="81"/>
      <c r="GK53" s="81"/>
      <c r="GL53" s="635"/>
      <c r="GM53" s="277"/>
      <c r="GN53" s="378"/>
      <c r="GO53" s="218"/>
      <c r="GP53" s="81"/>
      <c r="GQ53" s="81"/>
      <c r="GR53" s="81"/>
      <c r="GS53" s="81"/>
      <c r="GT53" s="81"/>
      <c r="GU53" s="81"/>
      <c r="GV53" s="81"/>
      <c r="GW53" s="81"/>
      <c r="GX53" s="81"/>
      <c r="GY53" s="81"/>
      <c r="GZ53" s="81"/>
      <c r="HA53" s="81"/>
      <c r="HB53" s="81"/>
      <c r="HE53" s="81"/>
      <c r="HF53" s="81"/>
      <c r="HG53" s="81"/>
      <c r="HH53" s="81"/>
      <c r="HI53" s="328" t="s">
        <v>14</v>
      </c>
      <c r="HJ53" s="627" t="e">
        <f>IF(HJ52=1,EQ51,"X")</f>
        <v>#NUM!</v>
      </c>
      <c r="HK53" s="38" t="s">
        <v>920</v>
      </c>
      <c r="HL53" s="81"/>
      <c r="HM53" s="81"/>
      <c r="HN53" s="81"/>
      <c r="HO53" s="81"/>
      <c r="HP53" s="328" t="s">
        <v>14</v>
      </c>
      <c r="HQ53" s="627" t="e">
        <f>IF(HQ52=1,EX51,"X")</f>
        <v>#NUM!</v>
      </c>
      <c r="HR53" s="38" t="s">
        <v>920</v>
      </c>
      <c r="HS53" s="81"/>
      <c r="HT53" s="81"/>
      <c r="HU53" s="81"/>
      <c r="HV53" s="81"/>
      <c r="HW53" s="328" t="s">
        <v>14</v>
      </c>
      <c r="HX53" s="627" t="e">
        <f>IF(HX52=1,FZ51,"X")</f>
        <v>#NUM!</v>
      </c>
      <c r="HY53" s="38" t="s">
        <v>920</v>
      </c>
      <c r="HZ53" s="81"/>
      <c r="IA53" s="81"/>
      <c r="IB53" s="81"/>
      <c r="IC53" s="81"/>
      <c r="ID53" s="328" t="s">
        <v>14</v>
      </c>
      <c r="IE53" s="627" t="e">
        <f>IF(IE52=1,FS51,"X")</f>
        <v>#NUM!</v>
      </c>
      <c r="IF53" s="38" t="s">
        <v>920</v>
      </c>
      <c r="IG53" s="81"/>
      <c r="IH53" s="81"/>
      <c r="II53" s="81"/>
      <c r="IJ53" s="81"/>
      <c r="IK53" s="44"/>
      <c r="IL53" s="44"/>
      <c r="IM53" s="280">
        <f t="shared" si="262"/>
        <v>19</v>
      </c>
      <c r="IN53" s="385">
        <f t="shared" si="294"/>
        <v>0</v>
      </c>
      <c r="IO53" s="196" t="str">
        <f t="shared" si="154"/>
        <v xml:space="preserve"> </v>
      </c>
      <c r="IP53" s="342" t="str">
        <f t="shared" si="155"/>
        <v xml:space="preserve"> </v>
      </c>
      <c r="IQ53" s="280">
        <f t="shared" si="156"/>
        <v>0</v>
      </c>
      <c r="IR53" s="196">
        <f t="shared" si="295"/>
        <v>0</v>
      </c>
      <c r="IS53" s="280">
        <f t="shared" si="296"/>
        <v>1</v>
      </c>
      <c r="IT53" s="280">
        <f t="shared" si="297"/>
        <v>0</v>
      </c>
      <c r="IU53" s="280">
        <f t="shared" si="298"/>
        <v>0</v>
      </c>
      <c r="IV53" s="280">
        <f t="shared" si="299"/>
        <v>0</v>
      </c>
      <c r="IW53" s="280">
        <f t="shared" si="300"/>
        <v>0</v>
      </c>
      <c r="IX53" s="280">
        <f t="shared" si="301"/>
        <v>0</v>
      </c>
      <c r="IY53" s="280">
        <f t="shared" si="302"/>
        <v>0</v>
      </c>
      <c r="IZ53" s="280">
        <f t="shared" si="303"/>
        <v>0</v>
      </c>
      <c r="JA53" s="280">
        <f t="shared" si="304"/>
        <v>0</v>
      </c>
      <c r="JB53" s="280">
        <f t="shared" si="305"/>
        <v>0</v>
      </c>
      <c r="JC53" s="280">
        <f t="shared" si="306"/>
        <v>0</v>
      </c>
      <c r="JD53" s="280">
        <f t="shared" si="307"/>
        <v>0</v>
      </c>
      <c r="JE53" s="280">
        <f t="shared" si="308"/>
        <v>0</v>
      </c>
      <c r="JF53" s="280">
        <f t="shared" si="309"/>
        <v>0</v>
      </c>
      <c r="JG53" s="280">
        <f t="shared" si="310"/>
        <v>0</v>
      </c>
      <c r="JH53" s="280">
        <f t="shared" si="311"/>
        <v>0</v>
      </c>
      <c r="JI53" s="280">
        <f t="shared" si="312"/>
        <v>0</v>
      </c>
      <c r="JJ53" s="280">
        <f t="shared" si="313"/>
        <v>0</v>
      </c>
      <c r="JK53" s="280">
        <f t="shared" si="314"/>
        <v>0</v>
      </c>
      <c r="JL53" s="280">
        <f t="shared" si="315"/>
        <v>0</v>
      </c>
      <c r="JM53" s="280">
        <f t="shared" si="316"/>
        <v>0</v>
      </c>
      <c r="JN53" s="280">
        <f t="shared" si="317"/>
        <v>0</v>
      </c>
      <c r="JO53" s="280">
        <f t="shared" si="318"/>
        <v>0</v>
      </c>
      <c r="JP53" s="280">
        <f t="shared" si="319"/>
        <v>0</v>
      </c>
      <c r="JQ53" s="280">
        <f t="shared" si="320"/>
        <v>0</v>
      </c>
      <c r="JR53" s="280">
        <f t="shared" si="321"/>
        <v>0</v>
      </c>
      <c r="JS53" s="44">
        <f t="shared" si="157"/>
        <v>1</v>
      </c>
      <c r="JT53" s="343" t="str">
        <f t="shared" si="158"/>
        <v>F</v>
      </c>
      <c r="JU53" s="44"/>
      <c r="JV53" s="280">
        <f t="shared" si="322"/>
        <v>1</v>
      </c>
      <c r="JW53" s="280">
        <f t="shared" si="323"/>
        <v>0</v>
      </c>
      <c r="JX53" s="280">
        <f t="shared" si="324"/>
        <v>0</v>
      </c>
      <c r="JY53" s="280">
        <f t="shared" si="325"/>
        <v>0</v>
      </c>
      <c r="JZ53" s="280">
        <f t="shared" si="326"/>
        <v>0</v>
      </c>
      <c r="KA53" s="280">
        <f t="shared" si="327"/>
        <v>0</v>
      </c>
      <c r="KB53" s="44">
        <f t="shared" si="160"/>
        <v>1</v>
      </c>
      <c r="KC53" s="343" t="str">
        <f t="shared" si="161"/>
        <v>F</v>
      </c>
      <c r="KD53" s="280"/>
      <c r="KE53" s="280"/>
      <c r="KF53" s="280"/>
      <c r="KG53" s="280"/>
      <c r="KH53" s="280"/>
      <c r="KI53" s="280"/>
      <c r="KJ53" s="280"/>
      <c r="KK53" s="280"/>
      <c r="KO53" s="8"/>
      <c r="KT53" s="282"/>
      <c r="KU53" s="421"/>
      <c r="KW53" s="344"/>
      <c r="KX53" s="81"/>
      <c r="KY53" s="378"/>
      <c r="KZ53" s="8"/>
      <c r="LB53" s="237">
        <v>16</v>
      </c>
      <c r="LC53" s="422" t="s">
        <v>830</v>
      </c>
      <c r="LD53" s="174" t="s">
        <v>24</v>
      </c>
      <c r="LE53" s="156" t="s">
        <v>392</v>
      </c>
      <c r="LF53" s="174"/>
      <c r="LG53" s="174"/>
      <c r="LH53" s="174"/>
      <c r="LI53" s="174"/>
      <c r="LJ53" s="174"/>
      <c r="LK53" s="174"/>
      <c r="LL53" s="174"/>
      <c r="LM53" s="174"/>
      <c r="LN53" s="423"/>
      <c r="OA53" s="892"/>
    </row>
    <row r="54" spans="1:391" ht="16.149999999999999" customHeight="1" x14ac:dyDescent="0.25">
      <c r="A54" s="455">
        <f t="shared" ref="A54:A60" si="328">JU75</f>
        <v>0</v>
      </c>
      <c r="B54" s="343" t="str">
        <f t="shared" ref="B54:F60" si="329">JW75</f>
        <v>3rd</v>
      </c>
      <c r="C54" s="1093" t="str">
        <f t="shared" si="329"/>
        <v>2:2</v>
      </c>
      <c r="D54" s="1093" t="str">
        <f t="shared" si="329"/>
        <v>2:1</v>
      </c>
      <c r="E54" s="1093" t="str">
        <f t="shared" si="329"/>
        <v>1st</v>
      </c>
      <c r="F54" s="343" t="str">
        <f t="shared" si="329"/>
        <v>1st*</v>
      </c>
      <c r="G54" s="1091" t="s">
        <v>801</v>
      </c>
      <c r="H54" s="1091" t="s">
        <v>802</v>
      </c>
      <c r="I54" s="220" t="s">
        <v>803</v>
      </c>
      <c r="J54" s="1049" t="s">
        <v>781</v>
      </c>
      <c r="K54" s="317" t="s">
        <v>804</v>
      </c>
      <c r="L54" s="1091" t="s">
        <v>801</v>
      </c>
      <c r="M54" s="1091" t="s">
        <v>802</v>
      </c>
      <c r="N54" s="220" t="s">
        <v>803</v>
      </c>
      <c r="O54" s="1049" t="s">
        <v>781</v>
      </c>
      <c r="P54" s="317" t="s">
        <v>804</v>
      </c>
      <c r="S54" s="798"/>
      <c r="T54" s="1531"/>
      <c r="U54" s="690" t="s">
        <v>945</v>
      </c>
      <c r="V54" s="692"/>
      <c r="W54" s="692"/>
      <c r="X54" s="692"/>
      <c r="Y54" s="313"/>
      <c r="Z54" s="313"/>
      <c r="AA54" s="312"/>
      <c r="AB54" s="313"/>
      <c r="AC54" s="313"/>
      <c r="AD54" s="313"/>
      <c r="AE54" s="702"/>
      <c r="AF54" s="1044"/>
      <c r="AG54" s="1044"/>
      <c r="AH54" s="424"/>
      <c r="AI54" s="702"/>
      <c r="AJ54" s="702"/>
      <c r="AK54" s="1081"/>
      <c r="AL54" s="1078"/>
      <c r="AM54" s="1502" t="str">
        <f>IN119</f>
        <v xml:space="preserve"> </v>
      </c>
      <c r="AN54" s="1502"/>
      <c r="AO54" s="888"/>
      <c r="AP54" s="719"/>
      <c r="AQ54" s="719"/>
      <c r="AR54" s="285"/>
      <c r="AS54" s="720"/>
      <c r="AT54" s="719"/>
      <c r="AU54" s="126"/>
      <c r="AV54" s="373"/>
      <c r="AW54" s="653"/>
      <c r="AX54" s="78">
        <f t="shared" si="279"/>
        <v>0</v>
      </c>
      <c r="AY54" s="78">
        <f t="shared" si="280"/>
        <v>0</v>
      </c>
      <c r="AZ54" s="78">
        <f t="shared" si="281"/>
        <v>0</v>
      </c>
      <c r="BA54" s="78">
        <f t="shared" si="282"/>
        <v>0</v>
      </c>
      <c r="BB54" s="78">
        <f t="shared" si="283"/>
        <v>0</v>
      </c>
      <c r="BC54" s="78">
        <f t="shared" si="284"/>
        <v>0</v>
      </c>
      <c r="BD54" s="78">
        <f t="shared" si="285"/>
        <v>0</v>
      </c>
      <c r="BE54" s="78">
        <f t="shared" si="286"/>
        <v>0</v>
      </c>
      <c r="BF54" s="78">
        <f t="shared" si="287"/>
        <v>0</v>
      </c>
      <c r="BG54" s="78">
        <f t="shared" si="288"/>
        <v>0</v>
      </c>
      <c r="BH54" s="78">
        <f t="shared" si="289"/>
        <v>0</v>
      </c>
      <c r="BI54" s="78">
        <f t="shared" si="290"/>
        <v>0</v>
      </c>
      <c r="BJ54" s="78">
        <f t="shared" si="291"/>
        <v>0</v>
      </c>
      <c r="BK54" s="78">
        <f t="shared" si="293"/>
        <v>0</v>
      </c>
      <c r="BM54" s="277"/>
      <c r="BN54" s="277"/>
      <c r="BO54" s="277"/>
      <c r="BP54" s="427">
        <f>AQ128</f>
        <v>3</v>
      </c>
      <c r="BQ54" s="277"/>
      <c r="BR54" s="81"/>
      <c r="BS54" s="81"/>
      <c r="BT54" s="81"/>
      <c r="BV54" s="81"/>
      <c r="BW54" s="81"/>
      <c r="BX54" s="81"/>
      <c r="BY54" s="81"/>
      <c r="CG54" s="81"/>
      <c r="CH54" s="81"/>
      <c r="CI54" s="81"/>
      <c r="CJ54" s="81"/>
      <c r="CK54" s="81"/>
      <c r="CL54" s="81"/>
      <c r="CM54" s="81"/>
      <c r="CN54" s="81"/>
      <c r="CO54" s="81"/>
      <c r="CP54" s="81"/>
      <c r="CQ54" s="81"/>
      <c r="CR54" s="81"/>
      <c r="CS54" s="81"/>
      <c r="CT54" s="81"/>
      <c r="CU54" s="81"/>
      <c r="CV54" s="81"/>
      <c r="CW54" s="81"/>
      <c r="CX54" s="81"/>
      <c r="CY54" s="81"/>
      <c r="CZ54" s="81"/>
      <c r="DA54" s="81"/>
      <c r="DB54" s="81"/>
      <c r="DC54" s="81"/>
      <c r="DD54" s="81"/>
      <c r="DE54" s="81"/>
      <c r="DF54" s="81"/>
      <c r="DG54" s="81"/>
      <c r="DH54" s="81"/>
      <c r="DI54" s="81"/>
      <c r="DJ54" s="81"/>
      <c r="DK54" s="81"/>
      <c r="DL54" s="81"/>
      <c r="DM54" s="81"/>
      <c r="DN54" s="81"/>
      <c r="DO54" s="81"/>
      <c r="DP54" s="81"/>
      <c r="DQ54" s="428">
        <v>1</v>
      </c>
      <c r="DR54" s="251">
        <v>1E-4</v>
      </c>
      <c r="DS54" s="351">
        <f t="shared" ref="DS54:DU54" si="330">DS36</f>
        <v>0</v>
      </c>
      <c r="DT54" s="251" t="str">
        <f t="shared" si="330"/>
        <v>X</v>
      </c>
      <c r="DU54" s="251" t="str">
        <f t="shared" si="330"/>
        <v>X</v>
      </c>
      <c r="DV54" s="218">
        <f>IF(DU54="X",0,RANK(DT54,$DT$54:$DT$69,2))</f>
        <v>0</v>
      </c>
      <c r="DW54" s="429">
        <v>1</v>
      </c>
      <c r="DX54" s="430" t="e">
        <f t="shared" ref="DX54:DX69" si="331">SMALL($DT$54:$DT$69,DW54)</f>
        <v>#NUM!</v>
      </c>
      <c r="DY54" s="430" t="e">
        <f t="shared" ref="DY54:DY69" si="332">VLOOKUP(DX54,$DT$54:$DU$69,2,0)</f>
        <v>#NUM!</v>
      </c>
      <c r="DZ54" s="355">
        <f>IF(DS54=1,DY54,0)</f>
        <v>0</v>
      </c>
      <c r="EA54" s="251">
        <f>IF(DZ54=0,0,RANK(DX54,$DX$54:$DX$69,2))</f>
        <v>0</v>
      </c>
      <c r="EB54" s="218">
        <f>DZ54+EB55</f>
        <v>0</v>
      </c>
      <c r="EC54" s="356">
        <f>DZ54</f>
        <v>0</v>
      </c>
      <c r="ED54" s="357" t="e">
        <f>ROUND(DX54,0)</f>
        <v>#NUM!</v>
      </c>
      <c r="EE54" s="218">
        <f t="shared" ref="EE54" si="333">IF(EB54&gt;100,0,DZ54)</f>
        <v>0</v>
      </c>
      <c r="EF54" s="218" t="str">
        <f>IF(DS54=1,EE54,"x")</f>
        <v>x</v>
      </c>
      <c r="EG54" s="358">
        <f>IF(EF54=0,1,0)</f>
        <v>0</v>
      </c>
      <c r="EH54" s="358">
        <f>EG54+EH55</f>
        <v>0</v>
      </c>
      <c r="EI54" s="359">
        <f t="shared" ref="EI54:EI69" si="334">IF(EH54=1,$EF$71,0)</f>
        <v>0</v>
      </c>
      <c r="EJ54" s="360">
        <f>EI54+EE54</f>
        <v>0</v>
      </c>
      <c r="EK54" s="361" t="e">
        <f>EJ54*ED54</f>
        <v>#NUM!</v>
      </c>
      <c r="EL54" s="218"/>
      <c r="EM54" s="218"/>
      <c r="EN54" s="218"/>
      <c r="EO54" s="81"/>
      <c r="EP54" s="81"/>
      <c r="EQ54" s="81"/>
      <c r="ER54" s="81"/>
      <c r="ES54" s="81"/>
      <c r="ET54" s="81"/>
      <c r="EU54" s="81"/>
      <c r="EV54" s="81"/>
      <c r="EW54" s="81"/>
      <c r="EX54" s="81"/>
      <c r="EY54" s="81"/>
      <c r="EZ54" s="81"/>
      <c r="FA54" s="81"/>
      <c r="FB54" s="81"/>
      <c r="FC54" s="81"/>
      <c r="FD54" s="81"/>
      <c r="FE54" s="81"/>
      <c r="FF54" s="81"/>
      <c r="FG54" s="81"/>
      <c r="FH54" s="81"/>
      <c r="FI54" s="81"/>
      <c r="FJ54" s="81"/>
      <c r="FK54" s="81"/>
      <c r="FL54" s="81"/>
      <c r="FM54" s="81"/>
      <c r="FN54" s="81"/>
      <c r="FO54" s="81"/>
      <c r="FP54" s="81"/>
      <c r="FQ54" s="81"/>
      <c r="FR54" s="81"/>
      <c r="FS54" s="81"/>
      <c r="FT54" s="81"/>
      <c r="FU54" s="81"/>
      <c r="FV54" s="81"/>
      <c r="FW54" s="81"/>
      <c r="FX54" s="81"/>
      <c r="FY54" s="81"/>
      <c r="FZ54" s="81"/>
      <c r="GA54" s="81"/>
      <c r="GB54" s="81"/>
      <c r="GC54" s="81"/>
      <c r="GD54" s="81"/>
      <c r="GE54" s="81"/>
      <c r="GF54" s="81"/>
      <c r="GG54" s="81"/>
      <c r="GH54" s="81"/>
      <c r="GI54" s="81"/>
      <c r="GJ54" s="81"/>
      <c r="GK54" s="81"/>
      <c r="GL54" s="635"/>
      <c r="GM54" s="277"/>
      <c r="GN54" s="378"/>
      <c r="GO54" s="218"/>
      <c r="GP54" s="81"/>
      <c r="GQ54" s="81"/>
      <c r="GR54" s="81"/>
      <c r="GS54" s="81"/>
      <c r="GT54" s="81"/>
      <c r="GU54" s="81"/>
      <c r="GV54" s="81"/>
      <c r="GW54" s="81"/>
      <c r="GX54" s="81"/>
      <c r="GY54" s="81"/>
      <c r="GZ54" s="81"/>
      <c r="HA54" s="81"/>
      <c r="HB54" s="81"/>
      <c r="HE54" s="81"/>
      <c r="HF54" s="81"/>
      <c r="HG54" s="81"/>
      <c r="HH54" s="81"/>
      <c r="HI54" s="629" t="s">
        <v>14</v>
      </c>
      <c r="HJ54" s="81" t="e">
        <f>EQ50</f>
        <v>#NUM!</v>
      </c>
      <c r="HK54" s="81"/>
      <c r="HL54" s="81"/>
      <c r="HM54" s="81"/>
      <c r="HN54" s="81"/>
      <c r="HO54" s="81"/>
      <c r="HP54" s="629" t="s">
        <v>14</v>
      </c>
      <c r="HQ54" s="81" t="e">
        <f>EX50</f>
        <v>#NUM!</v>
      </c>
      <c r="HR54" s="81"/>
      <c r="HS54" s="81"/>
      <c r="HT54" s="81"/>
      <c r="HU54" s="81"/>
      <c r="HV54" s="81"/>
      <c r="HW54" s="629" t="s">
        <v>14</v>
      </c>
      <c r="HX54" s="81" t="e">
        <f>FE50</f>
        <v>#NUM!</v>
      </c>
      <c r="HY54" s="81"/>
      <c r="HZ54" s="81"/>
      <c r="IA54" s="81"/>
      <c r="IB54" s="81"/>
      <c r="IC54" s="601"/>
      <c r="ID54" s="629" t="s">
        <v>14</v>
      </c>
      <c r="IE54" s="328" t="e">
        <f>FS50</f>
        <v>#NUM!</v>
      </c>
      <c r="IF54" s="81"/>
      <c r="IG54" s="81"/>
      <c r="IH54" s="81"/>
      <c r="II54" s="81"/>
      <c r="IJ54" s="81"/>
      <c r="IK54" s="44"/>
      <c r="IL54" s="44"/>
      <c r="IM54" s="280">
        <f t="shared" si="262"/>
        <v>20</v>
      </c>
      <c r="IN54" s="385">
        <f t="shared" si="294"/>
        <v>0</v>
      </c>
      <c r="IO54" s="196" t="str">
        <f t="shared" si="154"/>
        <v xml:space="preserve"> </v>
      </c>
      <c r="IP54" s="342" t="str">
        <f t="shared" si="155"/>
        <v xml:space="preserve"> </v>
      </c>
      <c r="IQ54" s="280">
        <f t="shared" si="156"/>
        <v>0</v>
      </c>
      <c r="IR54" s="196">
        <f t="shared" si="295"/>
        <v>0</v>
      </c>
      <c r="IS54" s="280">
        <f t="shared" si="296"/>
        <v>1</v>
      </c>
      <c r="IT54" s="280">
        <f t="shared" si="297"/>
        <v>0</v>
      </c>
      <c r="IU54" s="280">
        <f t="shared" si="298"/>
        <v>0</v>
      </c>
      <c r="IV54" s="280">
        <f t="shared" si="299"/>
        <v>0</v>
      </c>
      <c r="IW54" s="280">
        <f t="shared" si="300"/>
        <v>0</v>
      </c>
      <c r="IX54" s="280">
        <f t="shared" si="301"/>
        <v>0</v>
      </c>
      <c r="IY54" s="280">
        <f t="shared" si="302"/>
        <v>0</v>
      </c>
      <c r="IZ54" s="280">
        <f t="shared" si="303"/>
        <v>0</v>
      </c>
      <c r="JA54" s="280">
        <f t="shared" si="304"/>
        <v>0</v>
      </c>
      <c r="JB54" s="280">
        <f t="shared" si="305"/>
        <v>0</v>
      </c>
      <c r="JC54" s="280">
        <f t="shared" si="306"/>
        <v>0</v>
      </c>
      <c r="JD54" s="280">
        <f t="shared" si="307"/>
        <v>0</v>
      </c>
      <c r="JE54" s="280">
        <f t="shared" si="308"/>
        <v>0</v>
      </c>
      <c r="JF54" s="280">
        <f t="shared" si="309"/>
        <v>0</v>
      </c>
      <c r="JG54" s="280">
        <f t="shared" si="310"/>
        <v>0</v>
      </c>
      <c r="JH54" s="280">
        <f t="shared" si="311"/>
        <v>0</v>
      </c>
      <c r="JI54" s="280">
        <f t="shared" si="312"/>
        <v>0</v>
      </c>
      <c r="JJ54" s="280">
        <f t="shared" si="313"/>
        <v>0</v>
      </c>
      <c r="JK54" s="280">
        <f t="shared" si="314"/>
        <v>0</v>
      </c>
      <c r="JL54" s="280">
        <f t="shared" si="315"/>
        <v>0</v>
      </c>
      <c r="JM54" s="280">
        <f t="shared" si="316"/>
        <v>0</v>
      </c>
      <c r="JN54" s="280">
        <f t="shared" si="317"/>
        <v>0</v>
      </c>
      <c r="JO54" s="280">
        <f t="shared" si="318"/>
        <v>0</v>
      </c>
      <c r="JP54" s="280">
        <f t="shared" si="319"/>
        <v>0</v>
      </c>
      <c r="JQ54" s="280">
        <f t="shared" si="320"/>
        <v>0</v>
      </c>
      <c r="JR54" s="280">
        <f t="shared" si="321"/>
        <v>0</v>
      </c>
      <c r="JS54" s="44">
        <f t="shared" si="157"/>
        <v>1</v>
      </c>
      <c r="JT54" s="343" t="str">
        <f t="shared" si="158"/>
        <v>F</v>
      </c>
      <c r="JU54" s="44"/>
      <c r="JV54" s="280">
        <f t="shared" si="322"/>
        <v>1</v>
      </c>
      <c r="JW54" s="280">
        <f t="shared" si="323"/>
        <v>0</v>
      </c>
      <c r="JX54" s="280">
        <f t="shared" si="324"/>
        <v>0</v>
      </c>
      <c r="JY54" s="280">
        <f t="shared" si="325"/>
        <v>0</v>
      </c>
      <c r="JZ54" s="280">
        <f t="shared" si="326"/>
        <v>0</v>
      </c>
      <c r="KA54" s="280">
        <f t="shared" si="327"/>
        <v>0</v>
      </c>
      <c r="KB54" s="44">
        <f t="shared" si="160"/>
        <v>1</v>
      </c>
      <c r="KC54" s="343" t="str">
        <f t="shared" si="161"/>
        <v>F</v>
      </c>
      <c r="KD54" s="280"/>
      <c r="KE54" s="280"/>
      <c r="KF54" s="280"/>
      <c r="KG54" s="280"/>
      <c r="KH54" s="280"/>
      <c r="KI54" s="280"/>
      <c r="KJ54" s="280"/>
      <c r="KK54" s="280"/>
      <c r="KL54" s="1"/>
      <c r="KM54" s="282"/>
      <c r="KO54" s="282"/>
      <c r="KT54" s="282"/>
      <c r="KU54" s="421"/>
      <c r="KW54" s="344"/>
      <c r="KX54" s="81"/>
      <c r="KY54" s="378"/>
      <c r="KZ54" s="8"/>
    </row>
    <row r="55" spans="1:391" ht="16.149999999999999" customHeight="1" x14ac:dyDescent="0.25">
      <c r="A55" s="431" t="str">
        <f t="shared" si="328"/>
        <v>King's College London</v>
      </c>
      <c r="B55" s="1092">
        <f t="shared" si="329"/>
        <v>0</v>
      </c>
      <c r="C55" s="1092">
        <f t="shared" si="329"/>
        <v>0</v>
      </c>
      <c r="D55" s="1092">
        <f t="shared" si="329"/>
        <v>0</v>
      </c>
      <c r="E55" s="1092">
        <f t="shared" si="329"/>
        <v>0</v>
      </c>
      <c r="F55" s="1092">
        <f t="shared" si="329"/>
        <v>0</v>
      </c>
      <c r="G55" s="280">
        <f t="shared" ref="G55:K60" si="335">IF(B55&gt;0,1,0)</f>
        <v>0</v>
      </c>
      <c r="H55" s="280">
        <f t="shared" si="335"/>
        <v>0</v>
      </c>
      <c r="I55" s="280">
        <f t="shared" si="335"/>
        <v>0</v>
      </c>
      <c r="J55" s="280">
        <f t="shared" si="335"/>
        <v>0</v>
      </c>
      <c r="K55" s="280">
        <f t="shared" si="335"/>
        <v>0</v>
      </c>
      <c r="L55" s="381">
        <f>IF(G55=1,R55,0)</f>
        <v>0</v>
      </c>
      <c r="M55" s="381">
        <f>IF(H55=1,R55,0)</f>
        <v>0</v>
      </c>
      <c r="N55" s="381">
        <f>IF(I55=1,R55,0)</f>
        <v>0</v>
      </c>
      <c r="O55" s="381">
        <f>IF(J55=1,R55,0)</f>
        <v>0</v>
      </c>
      <c r="P55" s="381">
        <f>IF(K55=1,R55,0)</f>
        <v>0</v>
      </c>
      <c r="Q55" s="220"/>
      <c r="R55" s="1090">
        <v>1</v>
      </c>
      <c r="S55" s="798"/>
      <c r="T55" s="1531"/>
      <c r="U55" s="431" t="s">
        <v>28</v>
      </c>
      <c r="V55" s="687"/>
      <c r="W55" s="687"/>
      <c r="X55" s="687"/>
      <c r="Y55" s="689">
        <v>1</v>
      </c>
      <c r="Z55" s="1083">
        <v>1</v>
      </c>
      <c r="AA55" s="1472">
        <v>360</v>
      </c>
      <c r="AB55" s="1472"/>
      <c r="AC55" s="618">
        <v>0</v>
      </c>
      <c r="AD55" s="618">
        <v>0</v>
      </c>
      <c r="AE55" s="618">
        <v>0</v>
      </c>
      <c r="AF55" s="618">
        <v>0</v>
      </c>
      <c r="AG55" s="1466" t="s">
        <v>1128</v>
      </c>
      <c r="AH55" s="1466"/>
      <c r="AI55" s="1473" t="str">
        <f>BP56</f>
        <v xml:space="preserve"> </v>
      </c>
      <c r="AJ55" s="1474"/>
      <c r="AK55" s="707" t="str">
        <f t="shared" ref="AK55:AK60" si="336">BY56</f>
        <v xml:space="preserve"> </v>
      </c>
      <c r="AL55" s="132"/>
      <c r="AM55" s="1502"/>
      <c r="AN55" s="1502"/>
      <c r="AO55" s="1098"/>
      <c r="AP55" s="888"/>
      <c r="AQ55" s="719"/>
      <c r="AR55" s="719"/>
      <c r="AS55" s="285"/>
      <c r="AT55" s="720"/>
      <c r="AU55" s="719"/>
      <c r="AV55" s="126"/>
      <c r="AW55" s="653"/>
      <c r="AX55" s="78">
        <f t="shared" si="279"/>
        <v>0</v>
      </c>
      <c r="AY55" s="78">
        <f t="shared" si="280"/>
        <v>0</v>
      </c>
      <c r="AZ55" s="78">
        <f t="shared" si="281"/>
        <v>0</v>
      </c>
      <c r="BA55" s="78">
        <f t="shared" si="282"/>
        <v>0</v>
      </c>
      <c r="BB55" s="78">
        <f t="shared" si="283"/>
        <v>0</v>
      </c>
      <c r="BC55" s="78">
        <f t="shared" si="284"/>
        <v>0</v>
      </c>
      <c r="BD55" s="78">
        <f t="shared" si="285"/>
        <v>0</v>
      </c>
      <c r="BE55" s="78">
        <f t="shared" si="286"/>
        <v>0</v>
      </c>
      <c r="BF55" s="78">
        <f t="shared" si="287"/>
        <v>0</v>
      </c>
      <c r="BG55" s="78">
        <f t="shared" si="288"/>
        <v>0</v>
      </c>
      <c r="BH55" s="78">
        <f t="shared" si="289"/>
        <v>0</v>
      </c>
      <c r="BI55" s="78">
        <f t="shared" si="290"/>
        <v>0</v>
      </c>
      <c r="BJ55" s="78">
        <f t="shared" si="291"/>
        <v>0</v>
      </c>
      <c r="BK55" s="78">
        <f t="shared" si="293"/>
        <v>0</v>
      </c>
      <c r="BM55" s="277"/>
      <c r="BN55" s="690" t="s">
        <v>945</v>
      </c>
      <c r="BO55" s="277"/>
      <c r="BP55" s="436" t="str">
        <f>IF($BP$54=6,BQ55," ")</f>
        <v xml:space="preserve"> </v>
      </c>
      <c r="BQ55" s="437" t="str">
        <f>BU55</f>
        <v>Range in Degree Marks:</v>
      </c>
      <c r="BR55" s="81"/>
      <c r="BS55" s="81"/>
      <c r="BT55" s="81"/>
      <c r="BU55" s="350" t="s">
        <v>854</v>
      </c>
      <c r="BV55" s="81"/>
      <c r="BW55" s="81"/>
      <c r="BX55" s="81"/>
      <c r="BY55" s="81"/>
      <c r="CG55" s="81"/>
      <c r="CH55" s="81"/>
      <c r="CI55" s="81"/>
      <c r="CJ55" s="81"/>
      <c r="CK55" s="81"/>
      <c r="CL55" s="81"/>
      <c r="CM55" s="81"/>
      <c r="CN55" s="81"/>
      <c r="CO55" s="81"/>
      <c r="CP55" s="81"/>
      <c r="CQ55" s="81"/>
      <c r="CR55" s="81"/>
      <c r="CS55" s="81"/>
      <c r="CT55" s="81"/>
      <c r="CU55" s="81"/>
      <c r="CV55" s="81"/>
      <c r="CW55" s="81"/>
      <c r="CX55" s="81"/>
      <c r="CY55" s="81"/>
      <c r="CZ55" s="81"/>
      <c r="DA55" s="81"/>
      <c r="DB55" s="81"/>
      <c r="DC55" s="81"/>
      <c r="DD55" s="81"/>
      <c r="DE55" s="81"/>
      <c r="DF55" s="81"/>
      <c r="DG55" s="81"/>
      <c r="DH55" s="81"/>
      <c r="DI55" s="81"/>
      <c r="DJ55" s="81"/>
      <c r="DK55" s="81"/>
      <c r="DL55" s="81"/>
      <c r="DM55" s="81"/>
      <c r="DN55" s="81"/>
      <c r="DO55" s="81"/>
      <c r="DP55" s="81"/>
      <c r="DQ55" s="428">
        <v>2</v>
      </c>
      <c r="DR55" s="368">
        <v>1.1E-4</v>
      </c>
      <c r="DS55" s="351">
        <f>DS37</f>
        <v>0</v>
      </c>
      <c r="DT55" s="251" t="str">
        <f>DT37</f>
        <v>X</v>
      </c>
      <c r="DU55" s="251" t="str">
        <f>DU37</f>
        <v>X</v>
      </c>
      <c r="DV55" s="218">
        <f t="shared" ref="DV55:DV69" si="337">IF(DU55="X",0,RANK(DT55,$DT$54:$DT$69,2))</f>
        <v>0</v>
      </c>
      <c r="DW55" s="352">
        <f>DW54+DS55</f>
        <v>1</v>
      </c>
      <c r="DX55" s="354" t="e">
        <f t="shared" si="331"/>
        <v>#NUM!</v>
      </c>
      <c r="DY55" s="354" t="e">
        <f t="shared" si="332"/>
        <v>#NUM!</v>
      </c>
      <c r="DZ55" s="355">
        <f t="shared" ref="DZ55:DZ69" si="338">IF(DS55=1,DY55,0)</f>
        <v>0</v>
      </c>
      <c r="EA55" s="251">
        <f t="shared" ref="EA55:EA69" si="339">IF(DZ55=0,0,RANK(DX55,$DX$54:$DX$69,2))</f>
        <v>0</v>
      </c>
      <c r="EB55" s="218">
        <f>DZ55+EB56</f>
        <v>0</v>
      </c>
      <c r="EC55" s="356">
        <f t="shared" ref="EC55:EC69" si="340">DZ55</f>
        <v>0</v>
      </c>
      <c r="ED55" s="357" t="e">
        <f t="shared" ref="ED55:ED69" si="341">ROUND(DX55,0)</f>
        <v>#NUM!</v>
      </c>
      <c r="EE55" s="218">
        <f>IF(EB55&gt;100,0,DZ55)</f>
        <v>0</v>
      </c>
      <c r="EF55" s="218" t="str">
        <f t="shared" ref="EF55:EF69" si="342">IF(DS55=1,EE55,"x")</f>
        <v>x</v>
      </c>
      <c r="EG55" s="358">
        <f t="shared" ref="EG55:EG69" si="343">IF(EF55=0,1,0)</f>
        <v>0</v>
      </c>
      <c r="EH55" s="358">
        <f>EG55+EH56</f>
        <v>0</v>
      </c>
      <c r="EI55" s="359">
        <f t="shared" si="334"/>
        <v>0</v>
      </c>
      <c r="EJ55" s="360">
        <f>EI55+EE55</f>
        <v>0</v>
      </c>
      <c r="EK55" s="361" t="e">
        <f t="shared" ref="EK55:EK69" si="344">EJ55*ED55</f>
        <v>#NUM!</v>
      </c>
      <c r="EL55" s="438"/>
      <c r="EM55" s="218"/>
      <c r="EN55" s="218"/>
      <c r="EO55" s="81"/>
      <c r="EP55" s="81"/>
      <c r="EQ55" s="81"/>
      <c r="ER55" s="81"/>
      <c r="ES55" s="81"/>
      <c r="ET55" s="81"/>
      <c r="EU55" s="81"/>
      <c r="EV55" s="81"/>
      <c r="EW55" s="81"/>
      <c r="EX55" s="81"/>
      <c r="EY55" s="81"/>
      <c r="EZ55" s="81"/>
      <c r="FA55" s="81"/>
      <c r="FB55" s="81"/>
      <c r="FC55" s="81"/>
      <c r="FD55" s="81"/>
      <c r="FE55" s="81"/>
      <c r="FF55" s="81"/>
      <c r="FG55" s="81"/>
      <c r="FH55" s="81"/>
      <c r="FI55" s="81"/>
      <c r="FJ55" s="81"/>
      <c r="FK55" s="81"/>
      <c r="FL55" s="81"/>
      <c r="FM55" s="81"/>
      <c r="FN55" s="81"/>
      <c r="FO55" s="81"/>
      <c r="FP55" s="81"/>
      <c r="FQ55" s="81"/>
      <c r="FR55" s="81"/>
      <c r="FS55" s="81"/>
      <c r="FT55" s="81"/>
      <c r="FU55" s="81"/>
      <c r="FV55" s="81"/>
      <c r="FW55" s="81"/>
      <c r="FX55" s="81"/>
      <c r="FY55" s="81"/>
      <c r="FZ55" s="81"/>
      <c r="GA55" s="81"/>
      <c r="GB55" s="81"/>
      <c r="GC55" s="81"/>
      <c r="GD55" s="81"/>
      <c r="GE55" s="81"/>
      <c r="GF55" s="81"/>
      <c r="GG55" s="81"/>
      <c r="GH55" s="81"/>
      <c r="GI55" s="81"/>
      <c r="GJ55" s="81"/>
      <c r="GK55" s="81"/>
      <c r="GL55" s="635"/>
      <c r="GM55" s="277"/>
      <c r="GN55" s="378"/>
      <c r="GO55" s="218"/>
      <c r="GP55" s="81"/>
      <c r="GQ55" s="81"/>
      <c r="GR55" s="81"/>
      <c r="GS55" s="81"/>
      <c r="GT55" s="81"/>
      <c r="GU55" s="81"/>
      <c r="GV55" s="81"/>
      <c r="GW55" s="81"/>
      <c r="GX55" s="81"/>
      <c r="GY55" s="81"/>
      <c r="GZ55" s="81"/>
      <c r="HA55" s="81"/>
      <c r="HB55" s="81"/>
      <c r="HE55" s="81"/>
      <c r="HF55" s="81"/>
      <c r="HG55" s="328" t="s">
        <v>903</v>
      </c>
      <c r="HH55" s="328" t="s">
        <v>904</v>
      </c>
      <c r="HI55" s="629" t="s">
        <v>14</v>
      </c>
      <c r="HJ55" s="81" t="e">
        <f>EQ51</f>
        <v>#NUM!</v>
      </c>
      <c r="HK55" s="81"/>
      <c r="HL55" s="81"/>
      <c r="HM55" s="81"/>
      <c r="HN55" s="81"/>
      <c r="HO55" s="81"/>
      <c r="HP55" s="629" t="s">
        <v>14</v>
      </c>
      <c r="HQ55" s="81" t="e">
        <f>EX51</f>
        <v>#NUM!</v>
      </c>
      <c r="HR55" s="81"/>
      <c r="HS55" s="81"/>
      <c r="HT55" s="81"/>
      <c r="HU55" s="81"/>
      <c r="HV55" s="81"/>
      <c r="HW55" s="629" t="s">
        <v>14</v>
      </c>
      <c r="HX55" s="81" t="e">
        <f>FE51</f>
        <v>#NUM!</v>
      </c>
      <c r="HY55" s="81"/>
      <c r="HZ55" s="81"/>
      <c r="IA55" s="81"/>
      <c r="IB55" s="81"/>
      <c r="IC55" s="81"/>
      <c r="ID55" s="629" t="s">
        <v>14</v>
      </c>
      <c r="IE55" s="328" t="e">
        <f>FS51</f>
        <v>#NUM!</v>
      </c>
      <c r="IF55" s="81"/>
      <c r="IG55" s="81"/>
      <c r="IH55" s="81"/>
      <c r="II55" s="81"/>
      <c r="IJ55" s="8"/>
      <c r="IK55" s="44"/>
      <c r="IL55" s="44"/>
      <c r="IM55" s="280">
        <f>IM54+1</f>
        <v>21</v>
      </c>
      <c r="IN55" s="385">
        <f>AH123</f>
        <v>0</v>
      </c>
      <c r="IO55" s="196" t="str">
        <f t="shared" si="154"/>
        <v xml:space="preserve"> </v>
      </c>
      <c r="IP55" s="342" t="str">
        <f t="shared" si="155"/>
        <v xml:space="preserve"> </v>
      </c>
      <c r="IQ55" s="280">
        <f t="shared" si="156"/>
        <v>0</v>
      </c>
      <c r="IR55" s="196">
        <f>AF43</f>
        <v>0</v>
      </c>
      <c r="IS55" s="280">
        <f t="shared" si="296"/>
        <v>1</v>
      </c>
      <c r="IT55" s="280">
        <f t="shared" si="297"/>
        <v>0</v>
      </c>
      <c r="IU55" s="280">
        <f t="shared" si="298"/>
        <v>0</v>
      </c>
      <c r="IV55" s="280">
        <f t="shared" si="299"/>
        <v>0</v>
      </c>
      <c r="IW55" s="280">
        <f t="shared" si="300"/>
        <v>0</v>
      </c>
      <c r="IX55" s="280">
        <f t="shared" si="301"/>
        <v>0</v>
      </c>
      <c r="IY55" s="280">
        <f t="shared" si="302"/>
        <v>0</v>
      </c>
      <c r="IZ55" s="280">
        <f t="shared" si="303"/>
        <v>0</v>
      </c>
      <c r="JA55" s="280">
        <f t="shared" si="304"/>
        <v>0</v>
      </c>
      <c r="JB55" s="280">
        <f t="shared" si="305"/>
        <v>0</v>
      </c>
      <c r="JC55" s="280">
        <f t="shared" si="306"/>
        <v>0</v>
      </c>
      <c r="JD55" s="280">
        <f t="shared" si="307"/>
        <v>0</v>
      </c>
      <c r="JE55" s="280">
        <f t="shared" si="308"/>
        <v>0</v>
      </c>
      <c r="JF55" s="280">
        <f t="shared" si="309"/>
        <v>0</v>
      </c>
      <c r="JG55" s="280">
        <f t="shared" si="310"/>
        <v>0</v>
      </c>
      <c r="JH55" s="280">
        <f t="shared" si="311"/>
        <v>0</v>
      </c>
      <c r="JI55" s="280">
        <f t="shared" si="312"/>
        <v>0</v>
      </c>
      <c r="JJ55" s="280">
        <f t="shared" si="313"/>
        <v>0</v>
      </c>
      <c r="JK55" s="280">
        <f t="shared" si="314"/>
        <v>0</v>
      </c>
      <c r="JL55" s="280">
        <f t="shared" si="315"/>
        <v>0</v>
      </c>
      <c r="JM55" s="280">
        <f t="shared" si="316"/>
        <v>0</v>
      </c>
      <c r="JN55" s="280">
        <f t="shared" si="317"/>
        <v>0</v>
      </c>
      <c r="JO55" s="280">
        <f t="shared" si="318"/>
        <v>0</v>
      </c>
      <c r="JP55" s="280">
        <f t="shared" si="319"/>
        <v>0</v>
      </c>
      <c r="JQ55" s="280">
        <f t="shared" si="320"/>
        <v>0</v>
      </c>
      <c r="JR55" s="280">
        <f t="shared" si="321"/>
        <v>0</v>
      </c>
      <c r="JS55" s="44">
        <f t="shared" si="157"/>
        <v>1</v>
      </c>
      <c r="JT55" s="343" t="str">
        <f t="shared" si="158"/>
        <v>F</v>
      </c>
      <c r="JU55" s="44"/>
      <c r="JV55" s="280">
        <f t="shared" si="322"/>
        <v>1</v>
      </c>
      <c r="JW55" s="280">
        <f t="shared" si="323"/>
        <v>0</v>
      </c>
      <c r="JX55" s="280">
        <f t="shared" si="324"/>
        <v>0</v>
      </c>
      <c r="JY55" s="280">
        <f t="shared" si="325"/>
        <v>0</v>
      </c>
      <c r="JZ55" s="280">
        <f t="shared" si="326"/>
        <v>0</v>
      </c>
      <c r="KA55" s="280">
        <f t="shared" si="327"/>
        <v>0</v>
      </c>
      <c r="KB55" s="44">
        <f t="shared" si="160"/>
        <v>1</v>
      </c>
      <c r="KC55" s="343" t="str">
        <f t="shared" si="161"/>
        <v>F</v>
      </c>
      <c r="KD55" s="280"/>
      <c r="KE55" s="280"/>
      <c r="KF55" s="280"/>
      <c r="KG55" s="280"/>
      <c r="KH55" s="280"/>
      <c r="KI55" s="280"/>
      <c r="KJ55" s="280"/>
      <c r="KK55" s="280"/>
      <c r="KM55" s="370"/>
      <c r="KN55" s="370"/>
      <c r="KT55" s="282"/>
      <c r="KU55" s="421"/>
      <c r="KW55" s="374"/>
      <c r="KX55" s="375"/>
      <c r="KY55" s="375"/>
      <c r="KZ55" s="376"/>
    </row>
    <row r="56" spans="1:391" ht="16.149999999999999" customHeight="1" x14ac:dyDescent="0.25">
      <c r="A56" s="431" t="str">
        <f t="shared" si="328"/>
        <v>Aberystwyth</v>
      </c>
      <c r="B56" s="1092">
        <f t="shared" si="329"/>
        <v>0</v>
      </c>
      <c r="C56" s="1092">
        <f t="shared" si="329"/>
        <v>0</v>
      </c>
      <c r="D56" s="1092">
        <f t="shared" si="329"/>
        <v>0</v>
      </c>
      <c r="E56" s="1092">
        <f t="shared" si="329"/>
        <v>0</v>
      </c>
      <c r="F56" s="1092">
        <f t="shared" si="329"/>
        <v>0</v>
      </c>
      <c r="G56" s="280">
        <f t="shared" si="335"/>
        <v>0</v>
      </c>
      <c r="H56" s="280">
        <f t="shared" si="335"/>
        <v>0</v>
      </c>
      <c r="I56" s="280">
        <f t="shared" si="335"/>
        <v>0</v>
      </c>
      <c r="J56" s="280">
        <f t="shared" si="335"/>
        <v>0</v>
      </c>
      <c r="K56" s="280">
        <f t="shared" si="335"/>
        <v>0</v>
      </c>
      <c r="L56" s="381">
        <f t="shared" ref="L56:L60" si="345">IF(G56=1,R56,0)</f>
        <v>0</v>
      </c>
      <c r="M56" s="381">
        <f t="shared" ref="M56:M60" si="346">IF(H56=1,R56,0)</f>
        <v>0</v>
      </c>
      <c r="N56" s="381">
        <f t="shared" ref="N56:N60" si="347">IF(I56=1,R56,0)</f>
        <v>0</v>
      </c>
      <c r="O56" s="381">
        <f t="shared" ref="O56:O60" si="348">IF(J56=1,R56,0)</f>
        <v>0</v>
      </c>
      <c r="P56" s="381">
        <f t="shared" ref="P56:P60" si="349">IF(K56=1,R56,0)</f>
        <v>0</v>
      </c>
      <c r="Q56" s="220"/>
      <c r="R56" s="1090">
        <v>1</v>
      </c>
      <c r="S56" s="798"/>
      <c r="T56" s="1531"/>
      <c r="U56" s="431" t="s">
        <v>59</v>
      </c>
      <c r="V56" s="687"/>
      <c r="W56" s="687"/>
      <c r="X56" s="687"/>
      <c r="Y56" s="685">
        <v>1</v>
      </c>
      <c r="Z56" s="1084">
        <v>1</v>
      </c>
      <c r="AA56" s="1477">
        <v>360</v>
      </c>
      <c r="AB56" s="1477"/>
      <c r="AC56" s="684">
        <v>0</v>
      </c>
      <c r="AD56" s="684">
        <v>0</v>
      </c>
      <c r="AE56" s="684">
        <v>0</v>
      </c>
      <c r="AF56" s="684">
        <v>0</v>
      </c>
      <c r="AG56" s="1466" t="s">
        <v>1128</v>
      </c>
      <c r="AH56" s="1466"/>
      <c r="AI56" s="1467" t="str">
        <f t="shared" ref="AI56:AI60" si="350">BP57</f>
        <v xml:space="preserve"> </v>
      </c>
      <c r="AJ56" s="1468"/>
      <c r="AK56" s="707" t="str">
        <f t="shared" si="336"/>
        <v xml:space="preserve"> </v>
      </c>
      <c r="AL56" s="706">
        <f>BV105</f>
        <v>0</v>
      </c>
      <c r="AM56" s="1503"/>
      <c r="AN56" s="1503"/>
      <c r="AO56" s="1118"/>
      <c r="AP56" s="888"/>
      <c r="AQ56" s="373"/>
      <c r="AR56" s="373"/>
      <c r="AS56" s="373"/>
      <c r="AT56" s="373"/>
      <c r="AU56" s="373"/>
      <c r="AV56" s="373"/>
      <c r="AW56" s="656"/>
      <c r="AX56" s="78">
        <f t="shared" si="279"/>
        <v>0</v>
      </c>
      <c r="AY56" s="78">
        <f t="shared" si="280"/>
        <v>0</v>
      </c>
      <c r="AZ56" s="78">
        <f t="shared" si="281"/>
        <v>0</v>
      </c>
      <c r="BA56" s="78">
        <f t="shared" si="282"/>
        <v>0</v>
      </c>
      <c r="BB56" s="78">
        <f t="shared" si="283"/>
        <v>0</v>
      </c>
      <c r="BC56" s="78">
        <f t="shared" si="284"/>
        <v>0</v>
      </c>
      <c r="BD56" s="78">
        <f t="shared" si="285"/>
        <v>0</v>
      </c>
      <c r="BE56" s="78">
        <f t="shared" si="286"/>
        <v>0</v>
      </c>
      <c r="BF56" s="78">
        <f t="shared" si="287"/>
        <v>0</v>
      </c>
      <c r="BG56" s="78">
        <f t="shared" si="288"/>
        <v>0</v>
      </c>
      <c r="BH56" s="78">
        <f t="shared" si="289"/>
        <v>0</v>
      </c>
      <c r="BI56" s="78">
        <f t="shared" si="290"/>
        <v>0</v>
      </c>
      <c r="BJ56" s="78">
        <f t="shared" si="291"/>
        <v>0</v>
      </c>
      <c r="BK56" s="78">
        <f t="shared" si="293"/>
        <v>0</v>
      </c>
      <c r="BM56" s="277"/>
      <c r="BN56" s="1060" t="s">
        <v>28</v>
      </c>
      <c r="BO56" s="1061"/>
      <c r="BP56" s="1062" t="str">
        <f t="shared" ref="BP56:BP95" si="351">IF($BP$54=6,BR56," ")</f>
        <v xml:space="preserve"> </v>
      </c>
      <c r="BQ56" s="1063" t="e">
        <f>'DEGREE MARK SIMULATOR'!CW56</f>
        <v>#NUM!</v>
      </c>
      <c r="BR56" s="1064" t="e">
        <f>ROUND(BQ56,2)</f>
        <v>#NUM!</v>
      </c>
      <c r="BS56" s="1065"/>
      <c r="BT56" s="1065"/>
      <c r="BU56" s="1065"/>
      <c r="BV56" s="1065"/>
      <c r="BW56" s="1065"/>
      <c r="BX56" s="1066" t="str">
        <f t="shared" ref="BX56:BX76" si="352">IN76</f>
        <v xml:space="preserve"> </v>
      </c>
      <c r="BY56" s="81" t="str">
        <f t="shared" ref="BY56:BY96" si="353">IF($BP$54=6,BX56," ")</f>
        <v xml:space="preserve"> </v>
      </c>
      <c r="BZ56" s="78">
        <f>IF(CA56=BN56,1,0)</f>
        <v>1</v>
      </c>
      <c r="CA56" s="103" t="s">
        <v>28</v>
      </c>
      <c r="CB56" s="146" t="s">
        <v>30</v>
      </c>
      <c r="CC56" s="147" t="s">
        <v>31</v>
      </c>
      <c r="CD56" s="37">
        <v>360</v>
      </c>
      <c r="CE56" s="35"/>
      <c r="CF56" s="35"/>
      <c r="CG56" s="36"/>
      <c r="CH56" s="36"/>
      <c r="CI56" s="614" t="s">
        <v>17</v>
      </c>
      <c r="CJ56" s="175">
        <v>1</v>
      </c>
      <c r="CK56" s="175">
        <v>1</v>
      </c>
      <c r="CL56" s="328" t="s">
        <v>899</v>
      </c>
      <c r="CM56" s="590" t="e">
        <f>$HR$49</f>
        <v>#NUM!</v>
      </c>
      <c r="CN56" s="328" t="s">
        <v>900</v>
      </c>
      <c r="CO56" s="590" t="e">
        <f>((HQ50)+(ED48))/150</f>
        <v>#NUM!</v>
      </c>
      <c r="CP56" s="328" t="s">
        <v>901</v>
      </c>
      <c r="CQ56" s="591">
        <f>BQ37</f>
        <v>0</v>
      </c>
      <c r="CR56" s="81" t="e">
        <f>CM56*5</f>
        <v>#NUM!</v>
      </c>
      <c r="CS56" s="81" t="e">
        <f>CO56*3</f>
        <v>#NUM!</v>
      </c>
      <c r="CT56" s="81">
        <f>CQ56*1</f>
        <v>0</v>
      </c>
      <c r="CU56" s="269">
        <f>5+3+1</f>
        <v>9</v>
      </c>
      <c r="CV56" s="81" t="e">
        <f>CR56+CS56+CT56</f>
        <v>#NUM!</v>
      </c>
      <c r="CW56" s="613" t="e">
        <f t="shared" ref="CW56:CW61" si="354">CV56/CU56</f>
        <v>#NUM!</v>
      </c>
      <c r="CX56" s="431" t="s">
        <v>28</v>
      </c>
      <c r="CY56" s="81"/>
      <c r="CZ56" s="81"/>
      <c r="DA56" s="81"/>
      <c r="DB56" s="81"/>
      <c r="DC56" s="81"/>
      <c r="DD56" s="81"/>
      <c r="DE56" s="81"/>
      <c r="DF56" s="81"/>
      <c r="DG56" s="81"/>
      <c r="DH56" s="81"/>
      <c r="DI56" s="81"/>
      <c r="DJ56" s="81"/>
      <c r="DK56" s="81"/>
      <c r="DL56" s="81"/>
      <c r="DM56" s="81"/>
      <c r="DN56" s="81"/>
      <c r="DO56" s="81"/>
      <c r="DP56" s="81"/>
      <c r="DQ56" s="428">
        <v>3</v>
      </c>
      <c r="DR56" s="368">
        <v>2.1000000000000001E-4</v>
      </c>
      <c r="DS56" s="351">
        <f t="shared" ref="DS56:DU65" si="355">DS38</f>
        <v>0</v>
      </c>
      <c r="DT56" s="251" t="str">
        <f t="shared" si="355"/>
        <v>X</v>
      </c>
      <c r="DU56" s="251" t="str">
        <f t="shared" si="355"/>
        <v>X</v>
      </c>
      <c r="DV56" s="218">
        <f t="shared" si="337"/>
        <v>0</v>
      </c>
      <c r="DW56" s="352">
        <f>DW55+DS56</f>
        <v>1</v>
      </c>
      <c r="DX56" s="354" t="e">
        <f t="shared" si="331"/>
        <v>#NUM!</v>
      </c>
      <c r="DY56" s="354" t="e">
        <f t="shared" si="332"/>
        <v>#NUM!</v>
      </c>
      <c r="DZ56" s="355">
        <f t="shared" si="338"/>
        <v>0</v>
      </c>
      <c r="EA56" s="251">
        <f t="shared" si="339"/>
        <v>0</v>
      </c>
      <c r="EB56" s="218">
        <f t="shared" ref="EB56:EB68" si="356">DZ56+EB57</f>
        <v>0</v>
      </c>
      <c r="EC56" s="356">
        <f t="shared" si="340"/>
        <v>0</v>
      </c>
      <c r="ED56" s="258" t="e">
        <f t="shared" si="341"/>
        <v>#NUM!</v>
      </c>
      <c r="EE56" s="218">
        <f t="shared" ref="EE56:EE69" si="357">IF(EB56&gt;100,0,DZ56)</f>
        <v>0</v>
      </c>
      <c r="EF56" s="218" t="str">
        <f t="shared" si="342"/>
        <v>x</v>
      </c>
      <c r="EG56" s="358">
        <f t="shared" si="343"/>
        <v>0</v>
      </c>
      <c r="EH56" s="358">
        <f t="shared" ref="EH56:EH68" si="358">EG56+EH57</f>
        <v>0</v>
      </c>
      <c r="EI56" s="359">
        <f t="shared" si="334"/>
        <v>0</v>
      </c>
      <c r="EJ56" s="360">
        <f t="shared" ref="EJ56:EJ69" si="359">EI56+EE56</f>
        <v>0</v>
      </c>
      <c r="EK56" s="361" t="e">
        <f t="shared" si="344"/>
        <v>#NUM!</v>
      </c>
      <c r="EL56" s="438"/>
      <c r="EM56" s="218"/>
      <c r="EN56" s="218"/>
      <c r="EO56" s="81"/>
      <c r="EP56" s="81"/>
      <c r="EQ56" s="81"/>
      <c r="ER56" s="81"/>
      <c r="ES56" s="81"/>
      <c r="ET56" s="81"/>
      <c r="EU56" s="81"/>
      <c r="EV56" s="81"/>
      <c r="EW56" s="81"/>
      <c r="EX56" s="81"/>
      <c r="EY56" s="81"/>
      <c r="EZ56" s="81"/>
      <c r="FA56" s="81"/>
      <c r="FB56" s="81"/>
      <c r="FC56" s="81"/>
      <c r="FD56" s="81"/>
      <c r="FE56" s="81"/>
      <c r="FF56" s="81"/>
      <c r="FG56" s="81"/>
      <c r="FH56" s="81"/>
      <c r="FI56" s="81"/>
      <c r="FJ56" s="81"/>
      <c r="FK56" s="81"/>
      <c r="FL56" s="81"/>
      <c r="FM56" s="81"/>
      <c r="FN56" s="81"/>
      <c r="FO56" s="81"/>
      <c r="FP56" s="81"/>
      <c r="FQ56" s="81"/>
      <c r="FR56" s="81"/>
      <c r="FS56" s="81"/>
      <c r="FT56" s="81"/>
      <c r="FU56" s="81"/>
      <c r="FV56" s="81"/>
      <c r="FW56" s="81"/>
      <c r="FX56" s="81"/>
      <c r="FY56" s="81"/>
      <c r="FZ56" s="81"/>
      <c r="GA56" s="81"/>
      <c r="GB56" s="81"/>
      <c r="GC56" s="81"/>
      <c r="GD56" s="81"/>
      <c r="GE56" s="81"/>
      <c r="GF56" s="81"/>
      <c r="GG56" s="81"/>
      <c r="GH56" s="81"/>
      <c r="GI56" s="81"/>
      <c r="GJ56" s="81"/>
      <c r="GK56" s="81"/>
      <c r="GL56" s="635"/>
      <c r="GM56" s="277"/>
      <c r="GN56" s="378"/>
      <c r="GO56" s="218"/>
      <c r="GP56" s="81"/>
      <c r="GQ56" s="81"/>
      <c r="GR56" s="81"/>
      <c r="GS56" s="81"/>
      <c r="GT56" s="81"/>
      <c r="GU56" s="81"/>
      <c r="GV56" s="81"/>
      <c r="GW56" s="81"/>
      <c r="GX56" s="81"/>
      <c r="GY56" s="81"/>
      <c r="GZ56" s="81"/>
      <c r="HA56" s="81"/>
      <c r="HB56" s="81"/>
      <c r="HC56" s="81"/>
      <c r="HD56" s="81"/>
      <c r="HE56" s="81"/>
      <c r="HF56" s="628" t="s">
        <v>928</v>
      </c>
      <c r="HG56" s="81">
        <v>100</v>
      </c>
      <c r="HH56" s="81">
        <v>120</v>
      </c>
      <c r="HI56" s="81"/>
      <c r="HJ56" s="81"/>
      <c r="HK56" s="81"/>
      <c r="HL56" s="81"/>
      <c r="HM56" s="81"/>
      <c r="HN56" s="81"/>
      <c r="HO56" s="81"/>
      <c r="HP56" s="81"/>
      <c r="HQ56" s="328" t="s">
        <v>927</v>
      </c>
      <c r="HR56" s="81"/>
      <c r="HS56" s="81"/>
      <c r="HT56" s="81"/>
      <c r="HU56" s="81"/>
      <c r="HV56" s="81"/>
      <c r="HW56" s="81"/>
      <c r="HX56" s="81"/>
      <c r="HY56" s="81"/>
      <c r="HZ56" s="81"/>
      <c r="IA56" s="81"/>
      <c r="IB56" s="81"/>
      <c r="IC56" s="81"/>
      <c r="ID56" s="81"/>
      <c r="IE56" s="81"/>
      <c r="IF56" s="81"/>
      <c r="IG56" s="81"/>
      <c r="IH56" s="81"/>
      <c r="II56" s="81"/>
      <c r="IJ56" s="81"/>
      <c r="IK56" s="44"/>
      <c r="IL56" s="44"/>
      <c r="IM56" s="280">
        <f>IM55+1</f>
        <v>22</v>
      </c>
      <c r="IN56" s="385">
        <f>AH124</f>
        <v>0</v>
      </c>
      <c r="IO56" s="196" t="str">
        <f t="shared" si="154"/>
        <v xml:space="preserve"> </v>
      </c>
      <c r="IP56" s="342" t="str">
        <f t="shared" si="155"/>
        <v xml:space="preserve"> </v>
      </c>
      <c r="IQ56" s="280">
        <f t="shared" si="156"/>
        <v>0</v>
      </c>
      <c r="IR56" s="196">
        <f>AF44</f>
        <v>0</v>
      </c>
      <c r="IS56" s="280">
        <f t="shared" si="296"/>
        <v>1</v>
      </c>
      <c r="IT56" s="280">
        <f t="shared" si="297"/>
        <v>0</v>
      </c>
      <c r="IU56" s="280">
        <f t="shared" si="298"/>
        <v>0</v>
      </c>
      <c r="IV56" s="280">
        <f t="shared" si="299"/>
        <v>0</v>
      </c>
      <c r="IW56" s="280">
        <f t="shared" si="300"/>
        <v>0</v>
      </c>
      <c r="IX56" s="280">
        <f t="shared" si="301"/>
        <v>0</v>
      </c>
      <c r="IY56" s="280">
        <f t="shared" si="302"/>
        <v>0</v>
      </c>
      <c r="IZ56" s="280">
        <f t="shared" si="303"/>
        <v>0</v>
      </c>
      <c r="JA56" s="280">
        <f t="shared" si="304"/>
        <v>0</v>
      </c>
      <c r="JB56" s="280">
        <f t="shared" si="305"/>
        <v>0</v>
      </c>
      <c r="JC56" s="280">
        <f t="shared" si="306"/>
        <v>0</v>
      </c>
      <c r="JD56" s="280">
        <f t="shared" si="307"/>
        <v>0</v>
      </c>
      <c r="JE56" s="280">
        <f t="shared" si="308"/>
        <v>0</v>
      </c>
      <c r="JF56" s="280">
        <f t="shared" si="309"/>
        <v>0</v>
      </c>
      <c r="JG56" s="280">
        <f t="shared" si="310"/>
        <v>0</v>
      </c>
      <c r="JH56" s="280">
        <f t="shared" si="311"/>
        <v>0</v>
      </c>
      <c r="JI56" s="280">
        <f t="shared" si="312"/>
        <v>0</v>
      </c>
      <c r="JJ56" s="280">
        <f t="shared" si="313"/>
        <v>0</v>
      </c>
      <c r="JK56" s="280">
        <f t="shared" si="314"/>
        <v>0</v>
      </c>
      <c r="JL56" s="280">
        <f t="shared" si="315"/>
        <v>0</v>
      </c>
      <c r="JM56" s="280">
        <f t="shared" si="316"/>
        <v>0</v>
      </c>
      <c r="JN56" s="280">
        <f t="shared" si="317"/>
        <v>0</v>
      </c>
      <c r="JO56" s="280">
        <f t="shared" si="318"/>
        <v>0</v>
      </c>
      <c r="JP56" s="280">
        <f t="shared" si="319"/>
        <v>0</v>
      </c>
      <c r="JQ56" s="280">
        <f t="shared" si="320"/>
        <v>0</v>
      </c>
      <c r="JR56" s="280">
        <f t="shared" si="321"/>
        <v>0</v>
      </c>
      <c r="JS56" s="44">
        <f t="shared" si="157"/>
        <v>1</v>
      </c>
      <c r="JT56" s="343" t="str">
        <f t="shared" si="158"/>
        <v>F</v>
      </c>
      <c r="JU56" s="44"/>
      <c r="JV56" s="280">
        <f t="shared" si="322"/>
        <v>1</v>
      </c>
      <c r="JW56" s="280">
        <f t="shared" si="323"/>
        <v>0</v>
      </c>
      <c r="JX56" s="280">
        <f t="shared" si="324"/>
        <v>0</v>
      </c>
      <c r="JY56" s="280">
        <f t="shared" si="325"/>
        <v>0</v>
      </c>
      <c r="JZ56" s="280">
        <f t="shared" si="326"/>
        <v>0</v>
      </c>
      <c r="KA56" s="280">
        <f t="shared" si="327"/>
        <v>0</v>
      </c>
      <c r="KB56" s="44">
        <f t="shared" si="160"/>
        <v>1</v>
      </c>
      <c r="KC56" s="343" t="str">
        <f t="shared" si="161"/>
        <v>F</v>
      </c>
      <c r="KD56" s="280"/>
      <c r="KE56" s="280"/>
      <c r="KF56" s="280"/>
      <c r="KG56" s="280"/>
      <c r="KH56" s="280"/>
      <c r="KI56" s="280"/>
      <c r="KJ56" s="280"/>
      <c r="KK56" s="280"/>
      <c r="KT56" s="282"/>
      <c r="KU56" s="421"/>
    </row>
    <row r="57" spans="1:391" ht="16.149999999999999" customHeight="1" x14ac:dyDescent="0.25">
      <c r="A57" s="431" t="str">
        <f t="shared" si="328"/>
        <v>QU Belfast</v>
      </c>
      <c r="B57" s="1092">
        <f t="shared" si="329"/>
        <v>0</v>
      </c>
      <c r="C57" s="1092">
        <f t="shared" si="329"/>
        <v>0</v>
      </c>
      <c r="D57" s="1092">
        <f t="shared" si="329"/>
        <v>0</v>
      </c>
      <c r="E57" s="1092">
        <f t="shared" si="329"/>
        <v>0</v>
      </c>
      <c r="F57" s="1092">
        <f t="shared" si="329"/>
        <v>0</v>
      </c>
      <c r="G57" s="280">
        <f t="shared" si="335"/>
        <v>0</v>
      </c>
      <c r="H57" s="280">
        <f t="shared" si="335"/>
        <v>0</v>
      </c>
      <c r="I57" s="280">
        <f t="shared" si="335"/>
        <v>0</v>
      </c>
      <c r="J57" s="280">
        <f t="shared" si="335"/>
        <v>0</v>
      </c>
      <c r="K57" s="280">
        <f t="shared" si="335"/>
        <v>0</v>
      </c>
      <c r="L57" s="381">
        <f t="shared" si="345"/>
        <v>0</v>
      </c>
      <c r="M57" s="381">
        <f t="shared" si="346"/>
        <v>0</v>
      </c>
      <c r="N57" s="381">
        <f t="shared" si="347"/>
        <v>0</v>
      </c>
      <c r="O57" s="381">
        <f t="shared" si="348"/>
        <v>0</v>
      </c>
      <c r="P57" s="381">
        <f t="shared" si="349"/>
        <v>0</v>
      </c>
      <c r="Q57" s="220"/>
      <c r="R57" s="1090">
        <v>2</v>
      </c>
      <c r="S57" s="798"/>
      <c r="T57" s="1531"/>
      <c r="U57" s="431" t="s">
        <v>34</v>
      </c>
      <c r="V57" s="687"/>
      <c r="W57" s="687"/>
      <c r="X57" s="687"/>
      <c r="Y57" s="686">
        <v>2</v>
      </c>
      <c r="Z57" s="1085">
        <v>2</v>
      </c>
      <c r="AA57" s="1477">
        <v>360</v>
      </c>
      <c r="AB57" s="1477"/>
      <c r="AC57" s="684">
        <v>0</v>
      </c>
      <c r="AD57" s="684">
        <v>0</v>
      </c>
      <c r="AE57" s="684">
        <v>0</v>
      </c>
      <c r="AF57" s="684">
        <v>0</v>
      </c>
      <c r="AG57" s="1477" t="s">
        <v>38</v>
      </c>
      <c r="AH57" s="1477"/>
      <c r="AI57" s="1467" t="str">
        <f t="shared" si="350"/>
        <v xml:space="preserve"> </v>
      </c>
      <c r="AJ57" s="1468"/>
      <c r="AK57" s="707" t="str">
        <f t="shared" si="336"/>
        <v xml:space="preserve"> </v>
      </c>
      <c r="AL57" s="132"/>
      <c r="AM57" s="196" t="str">
        <f t="shared" ref="AM57:AM60" si="360">IN120</f>
        <v xml:space="preserve"> </v>
      </c>
      <c r="AN57" s="196" t="str">
        <f>O99</f>
        <v xml:space="preserve"> </v>
      </c>
      <c r="AO57" s="348"/>
      <c r="AP57" s="348"/>
      <c r="AQ57" s="126"/>
      <c r="AR57" s="706"/>
      <c r="AS57" s="706"/>
      <c r="AT57" s="706"/>
      <c r="AU57" s="706"/>
      <c r="AV57" s="794"/>
      <c r="AW57" s="653"/>
      <c r="AX57" s="78">
        <f t="shared" si="279"/>
        <v>0</v>
      </c>
      <c r="AY57" s="78">
        <f t="shared" si="280"/>
        <v>0</v>
      </c>
      <c r="AZ57" s="78">
        <f t="shared" si="281"/>
        <v>0</v>
      </c>
      <c r="BA57" s="78">
        <f t="shared" si="282"/>
        <v>0</v>
      </c>
      <c r="BB57" s="78">
        <f t="shared" si="283"/>
        <v>0</v>
      </c>
      <c r="BC57" s="78">
        <f t="shared" si="284"/>
        <v>0</v>
      </c>
      <c r="BD57" s="78">
        <f t="shared" si="285"/>
        <v>0</v>
      </c>
      <c r="BE57" s="78">
        <f t="shared" si="286"/>
        <v>0</v>
      </c>
      <c r="BF57" s="78">
        <f t="shared" si="287"/>
        <v>0</v>
      </c>
      <c r="BG57" s="78">
        <f t="shared" si="288"/>
        <v>0</v>
      </c>
      <c r="BH57" s="78">
        <f t="shared" si="289"/>
        <v>0</v>
      </c>
      <c r="BI57" s="78">
        <f t="shared" si="290"/>
        <v>0</v>
      </c>
      <c r="BJ57" s="78">
        <f t="shared" si="291"/>
        <v>0</v>
      </c>
      <c r="BK57" s="78">
        <f t="shared" si="293"/>
        <v>0</v>
      </c>
      <c r="BM57" s="277"/>
      <c r="BN57" s="1060" t="s">
        <v>59</v>
      </c>
      <c r="BO57" s="1061"/>
      <c r="BP57" s="1062" t="str">
        <f t="shared" si="351"/>
        <v xml:space="preserve"> </v>
      </c>
      <c r="BQ57" s="1067" t="e">
        <f>'DEGREE MARK SIMULATOR'!CW57</f>
        <v>#NUM!</v>
      </c>
      <c r="BR57" s="1064" t="e">
        <f t="shared" ref="BR57:BR96" si="361">ROUND(BQ57,2)</f>
        <v>#NUM!</v>
      </c>
      <c r="BS57" s="1064"/>
      <c r="BT57" s="1064"/>
      <c r="BU57" s="1068"/>
      <c r="BV57" s="1065"/>
      <c r="BW57" s="1065"/>
      <c r="BX57" s="1066" t="str">
        <f t="shared" si="352"/>
        <v xml:space="preserve"> </v>
      </c>
      <c r="BY57" s="81" t="str">
        <f t="shared" si="353"/>
        <v xml:space="preserve"> </v>
      </c>
      <c r="BZ57" s="78">
        <f t="shared" ref="BZ57:BZ96" si="362">IF(CA57=BN57,1,0)</f>
        <v>1</v>
      </c>
      <c r="CA57" s="55" t="s">
        <v>59</v>
      </c>
      <c r="CB57" s="132" t="s">
        <v>61</v>
      </c>
      <c r="CC57" s="138" t="s">
        <v>62</v>
      </c>
      <c r="CD57" s="37">
        <v>360</v>
      </c>
      <c r="CE57" s="35"/>
      <c r="CF57" s="35"/>
      <c r="CG57" s="35"/>
      <c r="CH57" s="35"/>
      <c r="CI57" s="614" t="s">
        <v>17</v>
      </c>
      <c r="CJ57" s="175">
        <v>1</v>
      </c>
      <c r="CK57" s="175">
        <v>2</v>
      </c>
      <c r="CL57" s="41" t="s">
        <v>906</v>
      </c>
      <c r="CM57" s="597" t="e">
        <f>HY49</f>
        <v>#NUM!</v>
      </c>
      <c r="CN57" s="41" t="s">
        <v>907</v>
      </c>
      <c r="CO57" s="894" t="e">
        <f>(HX50+GA48)/80</f>
        <v>#NUM!</v>
      </c>
      <c r="CP57" s="41" t="s">
        <v>908</v>
      </c>
      <c r="CQ57" s="616" t="e">
        <f>(FZ50+CM48)/200</f>
        <v>#NUM!</v>
      </c>
      <c r="CR57" s="78" t="e">
        <f>CM57*3</f>
        <v>#NUM!</v>
      </c>
      <c r="CS57" s="78" t="e">
        <f>CO57*2</f>
        <v>#NUM!</v>
      </c>
      <c r="CT57" s="78" t="e">
        <f>CQ57*1</f>
        <v>#NUM!</v>
      </c>
      <c r="CU57" s="269">
        <f>3+2+1</f>
        <v>6</v>
      </c>
      <c r="CV57" s="81" t="e">
        <f>CR57+CS57+CT57</f>
        <v>#NUM!</v>
      </c>
      <c r="CW57" s="613" t="e">
        <f t="shared" si="354"/>
        <v>#NUM!</v>
      </c>
      <c r="CX57" s="431" t="s">
        <v>59</v>
      </c>
      <c r="CY57" s="81"/>
      <c r="CZ57" s="81"/>
      <c r="DA57" s="81"/>
      <c r="DB57" s="81"/>
      <c r="DC57" s="81"/>
      <c r="DD57" s="81"/>
      <c r="DE57" s="81"/>
      <c r="DF57" s="81"/>
      <c r="DG57" s="81"/>
      <c r="DH57" s="81"/>
      <c r="DL57" s="81"/>
      <c r="DM57" s="81"/>
      <c r="DN57" s="81"/>
      <c r="DO57" s="81"/>
      <c r="DP57" s="81"/>
      <c r="DQ57" s="428">
        <v>4</v>
      </c>
      <c r="DR57" s="368">
        <v>3.1E-4</v>
      </c>
      <c r="DS57" s="351">
        <f t="shared" si="355"/>
        <v>0</v>
      </c>
      <c r="DT57" s="251" t="str">
        <f t="shared" si="355"/>
        <v>X</v>
      </c>
      <c r="DU57" s="251" t="str">
        <f t="shared" si="355"/>
        <v>X</v>
      </c>
      <c r="DV57" s="218">
        <f t="shared" si="337"/>
        <v>0</v>
      </c>
      <c r="DW57" s="352">
        <f t="shared" ref="DW57:DW65" si="363">DW56+DS57</f>
        <v>1</v>
      </c>
      <c r="DX57" s="354" t="e">
        <f t="shared" si="331"/>
        <v>#NUM!</v>
      </c>
      <c r="DY57" s="354" t="e">
        <f t="shared" si="332"/>
        <v>#NUM!</v>
      </c>
      <c r="DZ57" s="355">
        <f t="shared" si="338"/>
        <v>0</v>
      </c>
      <c r="EA57" s="251">
        <f t="shared" si="339"/>
        <v>0</v>
      </c>
      <c r="EB57" s="218">
        <f t="shared" si="356"/>
        <v>0</v>
      </c>
      <c r="EC57" s="356">
        <f t="shared" si="340"/>
        <v>0</v>
      </c>
      <c r="ED57" s="258" t="e">
        <f t="shared" si="341"/>
        <v>#NUM!</v>
      </c>
      <c r="EE57" s="218">
        <f t="shared" si="357"/>
        <v>0</v>
      </c>
      <c r="EF57" s="218" t="str">
        <f t="shared" si="342"/>
        <v>x</v>
      </c>
      <c r="EG57" s="358">
        <f t="shared" si="343"/>
        <v>0</v>
      </c>
      <c r="EH57" s="358">
        <f t="shared" si="358"/>
        <v>0</v>
      </c>
      <c r="EI57" s="359">
        <f t="shared" si="334"/>
        <v>0</v>
      </c>
      <c r="EJ57" s="360">
        <f t="shared" si="359"/>
        <v>0</v>
      </c>
      <c r="EK57" s="361" t="e">
        <f t="shared" si="344"/>
        <v>#NUM!</v>
      </c>
      <c r="EL57" s="438"/>
      <c r="EM57" s="218"/>
      <c r="EN57" s="218"/>
      <c r="EO57" s="81"/>
      <c r="EP57" s="81"/>
      <c r="EQ57" s="81"/>
      <c r="ER57" s="81"/>
      <c r="ES57" s="81"/>
      <c r="ET57" s="81"/>
      <c r="EU57" s="81"/>
      <c r="EV57" s="81"/>
      <c r="EW57" s="81"/>
      <c r="EX57" s="81"/>
      <c r="EY57" s="81"/>
      <c r="EZ57" s="81"/>
      <c r="FA57" s="81"/>
      <c r="FB57" s="81"/>
      <c r="FC57" s="81"/>
      <c r="FD57" s="81"/>
      <c r="FE57" s="81"/>
      <c r="FF57" s="81"/>
      <c r="FG57" s="81"/>
      <c r="FH57" s="81"/>
      <c r="FI57" s="81"/>
      <c r="FJ57" s="81"/>
      <c r="FK57" s="81"/>
      <c r="FL57" s="81"/>
      <c r="FM57" s="81"/>
      <c r="FN57" s="81"/>
      <c r="FO57" s="81"/>
      <c r="FP57" s="81"/>
      <c r="FQ57" s="81"/>
      <c r="FR57" s="81"/>
      <c r="FS57" s="81"/>
      <c r="FT57" s="81"/>
      <c r="FU57" s="81"/>
      <c r="FV57" s="81"/>
      <c r="FW57" s="81"/>
      <c r="FX57" s="81"/>
      <c r="FY57" s="81"/>
      <c r="FZ57" s="81"/>
      <c r="GA57" s="81"/>
      <c r="GB57" s="81"/>
      <c r="GC57" s="81"/>
      <c r="GD57" s="81"/>
      <c r="GE57" s="81"/>
      <c r="GF57" s="81"/>
      <c r="GG57" s="81"/>
      <c r="GH57" s="81"/>
      <c r="GI57" s="81"/>
      <c r="GJ57" s="81"/>
      <c r="GK57" s="81"/>
      <c r="GL57" s="635"/>
      <c r="GM57" s="277"/>
      <c r="GN57" s="378"/>
      <c r="GO57" s="218"/>
      <c r="GP57" s="81"/>
      <c r="GQ57" s="81"/>
      <c r="GR57" s="81"/>
      <c r="GS57" s="81"/>
      <c r="GT57" s="81"/>
      <c r="GU57" s="81"/>
      <c r="GV57" s="81"/>
      <c r="GW57" s="81"/>
      <c r="GX57" s="81"/>
      <c r="GY57" s="81"/>
      <c r="GZ57" s="81"/>
      <c r="HA57" s="81"/>
      <c r="HB57" s="81"/>
      <c r="HC57" s="81"/>
      <c r="HD57" s="81"/>
      <c r="HE57" s="81"/>
      <c r="HF57" s="81"/>
      <c r="HG57" s="78" t="e">
        <f>ER48</f>
        <v>#NUM!</v>
      </c>
      <c r="HH57" s="78">
        <f>GW48</f>
        <v>0</v>
      </c>
      <c r="HI57" s="328" t="s">
        <v>903</v>
      </c>
      <c r="HJ57" s="328" t="s">
        <v>904</v>
      </c>
      <c r="HK57" s="81"/>
      <c r="HL57" s="81"/>
      <c r="HM57" s="81"/>
      <c r="HN57" s="81"/>
      <c r="HO57" s="81"/>
      <c r="HP57" s="81"/>
      <c r="HR57" s="328" t="s">
        <v>904</v>
      </c>
      <c r="HS57" s="328" t="s">
        <v>903</v>
      </c>
      <c r="HT57" s="81"/>
      <c r="HU57" s="8"/>
      <c r="HV57" s="8"/>
      <c r="HW57" s="643" t="s">
        <v>904</v>
      </c>
      <c r="HX57" s="643" t="s">
        <v>903</v>
      </c>
      <c r="HY57" s="8"/>
      <c r="HZ57" s="8"/>
      <c r="IA57" s="8"/>
      <c r="IB57" s="8"/>
      <c r="IC57" s="8"/>
      <c r="ID57" s="8"/>
      <c r="IE57" s="8"/>
      <c r="IF57" s="8"/>
      <c r="IG57" s="8"/>
      <c r="IH57" s="8"/>
      <c r="II57" s="8"/>
      <c r="IJ57" s="81"/>
      <c r="IK57" s="44"/>
      <c r="IL57" s="44"/>
      <c r="IM57" s="280">
        <f t="shared" si="262"/>
        <v>23</v>
      </c>
      <c r="IN57" s="385">
        <f>AH125</f>
        <v>0</v>
      </c>
      <c r="IO57" s="196" t="str">
        <f t="shared" si="154"/>
        <v xml:space="preserve"> </v>
      </c>
      <c r="IP57" s="342" t="str">
        <f t="shared" si="155"/>
        <v xml:space="preserve"> </v>
      </c>
      <c r="IQ57" s="280">
        <f t="shared" si="156"/>
        <v>0</v>
      </c>
      <c r="IR57" s="196">
        <f>AF45</f>
        <v>0</v>
      </c>
      <c r="IS57" s="280">
        <f t="shared" si="296"/>
        <v>1</v>
      </c>
      <c r="IT57" s="280">
        <f t="shared" si="297"/>
        <v>0</v>
      </c>
      <c r="IU57" s="280">
        <f t="shared" si="298"/>
        <v>0</v>
      </c>
      <c r="IV57" s="280">
        <f t="shared" si="299"/>
        <v>0</v>
      </c>
      <c r="IW57" s="280">
        <f t="shared" si="300"/>
        <v>0</v>
      </c>
      <c r="IX57" s="280">
        <f t="shared" si="301"/>
        <v>0</v>
      </c>
      <c r="IY57" s="280">
        <f t="shared" si="302"/>
        <v>0</v>
      </c>
      <c r="IZ57" s="280">
        <f t="shared" si="303"/>
        <v>0</v>
      </c>
      <c r="JA57" s="280">
        <f t="shared" si="304"/>
        <v>0</v>
      </c>
      <c r="JB57" s="280">
        <f t="shared" si="305"/>
        <v>0</v>
      </c>
      <c r="JC57" s="280">
        <f t="shared" si="306"/>
        <v>0</v>
      </c>
      <c r="JD57" s="280">
        <f t="shared" si="307"/>
        <v>0</v>
      </c>
      <c r="JE57" s="280">
        <f t="shared" si="308"/>
        <v>0</v>
      </c>
      <c r="JF57" s="280">
        <f t="shared" si="309"/>
        <v>0</v>
      </c>
      <c r="JG57" s="280">
        <f t="shared" si="310"/>
        <v>0</v>
      </c>
      <c r="JH57" s="280">
        <f t="shared" si="311"/>
        <v>0</v>
      </c>
      <c r="JI57" s="280">
        <f t="shared" si="312"/>
        <v>0</v>
      </c>
      <c r="JJ57" s="280">
        <f t="shared" si="313"/>
        <v>0</v>
      </c>
      <c r="JK57" s="280">
        <f t="shared" si="314"/>
        <v>0</v>
      </c>
      <c r="JL57" s="280">
        <f t="shared" si="315"/>
        <v>0</v>
      </c>
      <c r="JM57" s="280">
        <f t="shared" si="316"/>
        <v>0</v>
      </c>
      <c r="JN57" s="280">
        <f t="shared" si="317"/>
        <v>0</v>
      </c>
      <c r="JO57" s="280">
        <f t="shared" si="318"/>
        <v>0</v>
      </c>
      <c r="JP57" s="280">
        <f t="shared" si="319"/>
        <v>0</v>
      </c>
      <c r="JQ57" s="280">
        <f t="shared" si="320"/>
        <v>0</v>
      </c>
      <c r="JR57" s="280">
        <f t="shared" si="321"/>
        <v>0</v>
      </c>
      <c r="JS57" s="44">
        <f t="shared" si="157"/>
        <v>1</v>
      </c>
      <c r="JT57" s="343" t="str">
        <f t="shared" si="158"/>
        <v>F</v>
      </c>
      <c r="JU57" s="44"/>
      <c r="JV57" s="280">
        <f t="shared" si="322"/>
        <v>1</v>
      </c>
      <c r="JW57" s="280">
        <f t="shared" si="323"/>
        <v>0</v>
      </c>
      <c r="JX57" s="280">
        <f t="shared" si="324"/>
        <v>0</v>
      </c>
      <c r="JY57" s="280">
        <f t="shared" si="325"/>
        <v>0</v>
      </c>
      <c r="JZ57" s="280">
        <f t="shared" si="326"/>
        <v>0</v>
      </c>
      <c r="KA57" s="280">
        <f t="shared" si="327"/>
        <v>0</v>
      </c>
      <c r="KB57" s="44">
        <f t="shared" si="160"/>
        <v>1</v>
      </c>
      <c r="KC57" s="343" t="str">
        <f t="shared" si="161"/>
        <v>F</v>
      </c>
      <c r="KD57" s="280"/>
      <c r="KE57" s="280"/>
      <c r="KF57" s="280"/>
      <c r="KG57" s="280"/>
      <c r="KH57" s="280"/>
      <c r="KI57" s="280"/>
      <c r="KJ57" s="280"/>
      <c r="KK57" s="280"/>
      <c r="KT57" s="282"/>
      <c r="KU57" s="235"/>
      <c r="NY57" s="544"/>
    </row>
    <row r="58" spans="1:391" ht="16.149999999999999" customHeight="1" x14ac:dyDescent="0.25">
      <c r="A58" s="431" t="str">
        <f t="shared" si="328"/>
        <v>Plymouth</v>
      </c>
      <c r="B58" s="1092">
        <f t="shared" si="329"/>
        <v>0</v>
      </c>
      <c r="C58" s="1092">
        <f t="shared" si="329"/>
        <v>0</v>
      </c>
      <c r="D58" s="1092">
        <f t="shared" si="329"/>
        <v>0</v>
      </c>
      <c r="E58" s="1092">
        <f t="shared" si="329"/>
        <v>0</v>
      </c>
      <c r="F58" s="1092">
        <f t="shared" si="329"/>
        <v>0</v>
      </c>
      <c r="G58" s="280">
        <f t="shared" si="335"/>
        <v>0</v>
      </c>
      <c r="H58" s="280">
        <f t="shared" si="335"/>
        <v>0</v>
      </c>
      <c r="I58" s="280">
        <f t="shared" si="335"/>
        <v>0</v>
      </c>
      <c r="J58" s="280">
        <f t="shared" si="335"/>
        <v>0</v>
      </c>
      <c r="K58" s="280">
        <f t="shared" si="335"/>
        <v>0</v>
      </c>
      <c r="L58" s="381">
        <f t="shared" si="345"/>
        <v>0</v>
      </c>
      <c r="M58" s="381">
        <f t="shared" si="346"/>
        <v>0</v>
      </c>
      <c r="N58" s="381">
        <f t="shared" si="347"/>
        <v>0</v>
      </c>
      <c r="O58" s="381">
        <f t="shared" si="348"/>
        <v>0</v>
      </c>
      <c r="P58" s="381">
        <f t="shared" si="349"/>
        <v>0</v>
      </c>
      <c r="Q58" s="220"/>
      <c r="R58" s="1090">
        <v>1</v>
      </c>
      <c r="S58" s="798"/>
      <c r="T58" s="1531"/>
      <c r="U58" s="431" t="s">
        <v>44</v>
      </c>
      <c r="V58" s="687"/>
      <c r="W58" s="687"/>
      <c r="X58" s="687"/>
      <c r="Y58" s="686">
        <v>3</v>
      </c>
      <c r="Z58" s="1085">
        <v>1</v>
      </c>
      <c r="AA58" s="1477">
        <v>320</v>
      </c>
      <c r="AB58" s="1477"/>
      <c r="AC58" s="684">
        <v>40</v>
      </c>
      <c r="AD58" s="684">
        <v>0</v>
      </c>
      <c r="AE58" s="684">
        <v>0</v>
      </c>
      <c r="AF58" s="684">
        <v>40</v>
      </c>
      <c r="AG58" s="1477" t="s">
        <v>38</v>
      </c>
      <c r="AH58" s="1477"/>
      <c r="AI58" s="1467" t="str">
        <f t="shared" si="350"/>
        <v xml:space="preserve"> </v>
      </c>
      <c r="AJ58" s="1468"/>
      <c r="AK58" s="707" t="str">
        <f t="shared" si="336"/>
        <v xml:space="preserve"> </v>
      </c>
      <c r="AL58" s="132"/>
      <c r="AM58" s="196" t="str">
        <f t="shared" si="360"/>
        <v xml:space="preserve"> </v>
      </c>
      <c r="AN58" s="196" t="str">
        <f>N99</f>
        <v xml:space="preserve"> </v>
      </c>
      <c r="AO58" s="348"/>
      <c r="AP58" s="776"/>
      <c r="AQ58" s="706"/>
      <c r="AR58" s="706"/>
      <c r="AS58" s="706"/>
      <c r="AT58" s="706"/>
      <c r="AU58" s="706"/>
      <c r="AV58" s="794"/>
      <c r="AW58" s="653"/>
      <c r="AX58" s="78">
        <f t="shared" si="279"/>
        <v>0</v>
      </c>
      <c r="AY58" s="78">
        <f t="shared" si="280"/>
        <v>0</v>
      </c>
      <c r="AZ58" s="78">
        <f t="shared" si="281"/>
        <v>0</v>
      </c>
      <c r="BA58" s="78">
        <f t="shared" si="282"/>
        <v>0</v>
      </c>
      <c r="BB58" s="78">
        <f t="shared" si="283"/>
        <v>0</v>
      </c>
      <c r="BC58" s="78">
        <f t="shared" si="284"/>
        <v>0</v>
      </c>
      <c r="BD58" s="78">
        <f t="shared" si="285"/>
        <v>0</v>
      </c>
      <c r="BE58" s="78">
        <f t="shared" si="286"/>
        <v>0</v>
      </c>
      <c r="BF58" s="78">
        <f t="shared" si="287"/>
        <v>0</v>
      </c>
      <c r="BG58" s="78">
        <f t="shared" si="288"/>
        <v>0</v>
      </c>
      <c r="BH58" s="78">
        <f t="shared" si="289"/>
        <v>0</v>
      </c>
      <c r="BI58" s="78">
        <f t="shared" si="290"/>
        <v>0</v>
      </c>
      <c r="BJ58" s="78">
        <f t="shared" si="291"/>
        <v>0</v>
      </c>
      <c r="BK58" s="78">
        <f t="shared" si="293"/>
        <v>0</v>
      </c>
      <c r="BM58" s="277"/>
      <c r="BN58" s="1060" t="s">
        <v>34</v>
      </c>
      <c r="BO58" s="1061"/>
      <c r="BP58" s="1062" t="str">
        <f t="shared" si="351"/>
        <v xml:space="preserve"> </v>
      </c>
      <c r="BQ58" s="1067">
        <f>'DEGREE MARK SIMULATOR'!CW58</f>
        <v>0</v>
      </c>
      <c r="BR58" s="1064">
        <f t="shared" si="361"/>
        <v>0</v>
      </c>
      <c r="BS58" s="1065"/>
      <c r="BT58" s="1065"/>
      <c r="BU58" s="1065"/>
      <c r="BV58" s="1065"/>
      <c r="BW58" s="1065"/>
      <c r="BX58" s="1066" t="str">
        <f t="shared" si="352"/>
        <v xml:space="preserve"> </v>
      </c>
      <c r="BY58" s="81" t="str">
        <f t="shared" si="353"/>
        <v xml:space="preserve"> </v>
      </c>
      <c r="BZ58" s="78">
        <f t="shared" si="362"/>
        <v>1</v>
      </c>
      <c r="CA58" s="55" t="s">
        <v>34</v>
      </c>
      <c r="CB58" s="132" t="s">
        <v>36</v>
      </c>
      <c r="CC58" s="138" t="s">
        <v>37</v>
      </c>
      <c r="CD58" s="37">
        <v>360</v>
      </c>
      <c r="CE58" s="35"/>
      <c r="CF58" s="35"/>
      <c r="CG58" s="36"/>
      <c r="CH58" s="36"/>
      <c r="CI58" s="37" t="s">
        <v>38</v>
      </c>
      <c r="CJ58" s="311">
        <v>2</v>
      </c>
      <c r="CK58" s="37">
        <v>3</v>
      </c>
      <c r="CL58" s="328" t="s">
        <v>904</v>
      </c>
      <c r="CM58" s="591">
        <f>BS37</f>
        <v>0</v>
      </c>
      <c r="CN58" s="328" t="s">
        <v>903</v>
      </c>
      <c r="CO58" s="591">
        <f>BR37</f>
        <v>0</v>
      </c>
      <c r="CP58" s="328" t="s">
        <v>902</v>
      </c>
      <c r="CQ58" s="591">
        <f>BQ37</f>
        <v>0</v>
      </c>
      <c r="CR58" s="81">
        <f>CM58*6</f>
        <v>0</v>
      </c>
      <c r="CS58" s="81">
        <f>CO58*3</f>
        <v>0</v>
      </c>
      <c r="CT58" s="81">
        <f>CQ58*1</f>
        <v>0</v>
      </c>
      <c r="CU58" s="269">
        <v>10</v>
      </c>
      <c r="CV58" s="81">
        <f>CR58+CS58+CT58</f>
        <v>0</v>
      </c>
      <c r="CW58" s="613">
        <f t="shared" si="354"/>
        <v>0</v>
      </c>
      <c r="CX58" s="431" t="s">
        <v>34</v>
      </c>
      <c r="CY58" s="81"/>
      <c r="CZ58" s="81"/>
      <c r="DA58" s="81"/>
      <c r="DB58" s="81"/>
      <c r="DC58" s="81"/>
      <c r="DD58" s="81"/>
      <c r="DE58" s="81"/>
      <c r="DF58" s="81"/>
      <c r="DG58" s="81"/>
      <c r="DH58" s="81"/>
      <c r="DI58" s="81"/>
      <c r="DJ58" s="81"/>
      <c r="DK58" s="81"/>
      <c r="DL58" s="81"/>
      <c r="DM58" s="81"/>
      <c r="DN58" s="81"/>
      <c r="DO58" s="81"/>
      <c r="DP58" s="81"/>
      <c r="DQ58" s="428">
        <v>5</v>
      </c>
      <c r="DR58" s="368">
        <v>4.0999999999999999E-4</v>
      </c>
      <c r="DS58" s="351">
        <f t="shared" si="355"/>
        <v>0</v>
      </c>
      <c r="DT58" s="251" t="str">
        <f t="shared" si="355"/>
        <v>X</v>
      </c>
      <c r="DU58" s="251" t="str">
        <f t="shared" si="355"/>
        <v>X</v>
      </c>
      <c r="DV58" s="218">
        <f t="shared" si="337"/>
        <v>0</v>
      </c>
      <c r="DW58" s="352">
        <f t="shared" si="363"/>
        <v>1</v>
      </c>
      <c r="DX58" s="354" t="e">
        <f t="shared" si="331"/>
        <v>#NUM!</v>
      </c>
      <c r="DY58" s="354" t="e">
        <f t="shared" si="332"/>
        <v>#NUM!</v>
      </c>
      <c r="DZ58" s="355">
        <f t="shared" si="338"/>
        <v>0</v>
      </c>
      <c r="EA58" s="251">
        <f t="shared" si="339"/>
        <v>0</v>
      </c>
      <c r="EB58" s="218">
        <f t="shared" si="356"/>
        <v>0</v>
      </c>
      <c r="EC58" s="356">
        <f t="shared" si="340"/>
        <v>0</v>
      </c>
      <c r="ED58" s="258" t="e">
        <f t="shared" si="341"/>
        <v>#NUM!</v>
      </c>
      <c r="EE58" s="218">
        <f t="shared" si="357"/>
        <v>0</v>
      </c>
      <c r="EF58" s="218" t="str">
        <f t="shared" si="342"/>
        <v>x</v>
      </c>
      <c r="EG58" s="358">
        <f t="shared" si="343"/>
        <v>0</v>
      </c>
      <c r="EH58" s="358">
        <f t="shared" si="358"/>
        <v>0</v>
      </c>
      <c r="EI58" s="359">
        <f t="shared" si="334"/>
        <v>0</v>
      </c>
      <c r="EJ58" s="360">
        <f>EI58+EE58</f>
        <v>0</v>
      </c>
      <c r="EK58" s="361" t="e">
        <f t="shared" si="344"/>
        <v>#NUM!</v>
      </c>
      <c r="EL58" s="438"/>
      <c r="EM58" s="218"/>
      <c r="EN58" s="218"/>
      <c r="EO58" s="81"/>
      <c r="EP58" s="81"/>
      <c r="EQ58" s="81"/>
      <c r="ER58" s="81"/>
      <c r="ES58" s="81"/>
      <c r="ET58" s="81"/>
      <c r="EU58" s="81"/>
      <c r="EV58" s="81"/>
      <c r="EW58" s="81"/>
      <c r="EX58" s="81"/>
      <c r="EY58" s="81"/>
      <c r="EZ58" s="81"/>
      <c r="FA58" s="81"/>
      <c r="FB58" s="81"/>
      <c r="FC58" s="81"/>
      <c r="FD58" s="81"/>
      <c r="FE58" s="81"/>
      <c r="FF58" s="81"/>
      <c r="FG58" s="81"/>
      <c r="FH58" s="81"/>
      <c r="FI58" s="81"/>
      <c r="FJ58" s="81"/>
      <c r="FK58" s="81"/>
      <c r="FL58" s="81"/>
      <c r="FM58" s="81"/>
      <c r="FN58" s="81"/>
      <c r="FO58" s="81"/>
      <c r="FP58" s="81"/>
      <c r="FQ58" s="81"/>
      <c r="FR58" s="81"/>
      <c r="FS58" s="81"/>
      <c r="FT58" s="81"/>
      <c r="FU58" s="81"/>
      <c r="FV58" s="81"/>
      <c r="FW58" s="81"/>
      <c r="FX58" s="81"/>
      <c r="FY58" s="81"/>
      <c r="FZ58" s="81"/>
      <c r="GA58" s="81"/>
      <c r="GB58" s="81"/>
      <c r="GC58" s="81"/>
      <c r="GD58" s="81"/>
      <c r="GE58" s="81"/>
      <c r="GF58" s="81"/>
      <c r="GG58" s="81"/>
      <c r="GH58" s="81"/>
      <c r="GI58" s="81"/>
      <c r="GJ58" s="81"/>
      <c r="GK58" s="81"/>
      <c r="GL58" s="635"/>
      <c r="GM58" s="277"/>
      <c r="GN58" s="378"/>
      <c r="GO58" s="218"/>
      <c r="GP58" s="81"/>
      <c r="GQ58" s="81"/>
      <c r="GR58" s="81"/>
      <c r="GS58" s="81"/>
      <c r="GT58" s="81"/>
      <c r="GU58" s="81"/>
      <c r="GV58" s="81"/>
      <c r="GW58" s="81"/>
      <c r="GX58" s="81"/>
      <c r="GY58" s="81"/>
      <c r="GZ58" s="81"/>
      <c r="HA58" s="81"/>
      <c r="HB58" s="81"/>
      <c r="HC58" s="328" t="s">
        <v>853</v>
      </c>
      <c r="HD58" s="81"/>
      <c r="HE58" s="81"/>
      <c r="HF58" s="81"/>
      <c r="HG58" s="466" t="e">
        <f>HG57/HG56</f>
        <v>#NUM!</v>
      </c>
      <c r="HH58" s="466">
        <f>HH57/HH56</f>
        <v>0</v>
      </c>
      <c r="HI58" s="634" t="e">
        <f>IF(HJ53="X",HG58,HG61)</f>
        <v>#NUM!</v>
      </c>
      <c r="HJ58" s="634" t="e">
        <f>IF(HJ53="X",HH58,HH61)</f>
        <v>#NUM!</v>
      </c>
      <c r="HK58" s="81"/>
      <c r="HL58" s="81"/>
      <c r="HM58" s="81"/>
      <c r="HN58" s="81">
        <v>1</v>
      </c>
      <c r="HO58" s="636" t="s">
        <v>929</v>
      </c>
      <c r="HP58" s="81"/>
      <c r="HR58" s="81">
        <v>90</v>
      </c>
      <c r="HS58" s="81">
        <v>120</v>
      </c>
      <c r="HT58" s="381">
        <v>4</v>
      </c>
      <c r="HU58" s="637" t="s">
        <v>934</v>
      </c>
      <c r="HV58" s="81"/>
      <c r="HW58" s="644" t="e">
        <f>IF($HT$66=$HT$58,HR49,IF($HT$66=$HT$59,HD49,IF($HT$66=$HT$60,GW49,"X")))</f>
        <v>#NUM!</v>
      </c>
      <c r="HX58" s="644" t="e">
        <f>IF($HT$66=$HT$58,ED49,IF($HT$66=$HT$59,HD49,IF($HT$66=$HT$60,HR49,"X")))</f>
        <v>#NUM!</v>
      </c>
      <c r="HY58" s="81"/>
      <c r="HZ58" s="81"/>
      <c r="IA58" s="81"/>
      <c r="IB58" s="81"/>
      <c r="IC58" s="81"/>
      <c r="ID58" s="81"/>
      <c r="IE58" s="81"/>
      <c r="IF58" s="81"/>
      <c r="IG58" s="81"/>
      <c r="IH58" s="81"/>
      <c r="II58" s="81"/>
      <c r="IJ58" s="81"/>
      <c r="IK58" s="44"/>
      <c r="IL58" s="381">
        <f>SUM(IQ52:IQ58)</f>
        <v>0</v>
      </c>
      <c r="IM58" s="280">
        <f t="shared" si="262"/>
        <v>24</v>
      </c>
      <c r="IN58" s="385">
        <f>AH126</f>
        <v>0</v>
      </c>
      <c r="IO58" s="196" t="str">
        <f t="shared" si="154"/>
        <v xml:space="preserve"> </v>
      </c>
      <c r="IP58" s="342" t="str">
        <f t="shared" si="155"/>
        <v xml:space="preserve"> </v>
      </c>
      <c r="IQ58" s="280">
        <f t="shared" si="156"/>
        <v>0</v>
      </c>
      <c r="IR58" s="175">
        <f>AF46</f>
        <v>0</v>
      </c>
      <c r="IS58" s="280">
        <f t="shared" si="296"/>
        <v>1</v>
      </c>
      <c r="IT58" s="280">
        <f t="shared" si="297"/>
        <v>0</v>
      </c>
      <c r="IU58" s="280">
        <f t="shared" si="298"/>
        <v>0</v>
      </c>
      <c r="IV58" s="280">
        <f t="shared" si="299"/>
        <v>0</v>
      </c>
      <c r="IW58" s="280">
        <f t="shared" si="300"/>
        <v>0</v>
      </c>
      <c r="IX58" s="280">
        <f t="shared" si="301"/>
        <v>0</v>
      </c>
      <c r="IY58" s="280">
        <f t="shared" si="302"/>
        <v>0</v>
      </c>
      <c r="IZ58" s="280">
        <f t="shared" si="303"/>
        <v>0</v>
      </c>
      <c r="JA58" s="280">
        <f t="shared" si="304"/>
        <v>0</v>
      </c>
      <c r="JB58" s="280">
        <f t="shared" si="305"/>
        <v>0</v>
      </c>
      <c r="JC58" s="280">
        <f t="shared" si="306"/>
        <v>0</v>
      </c>
      <c r="JD58" s="280">
        <f t="shared" si="307"/>
        <v>0</v>
      </c>
      <c r="JE58" s="280">
        <f t="shared" si="308"/>
        <v>0</v>
      </c>
      <c r="JF58" s="280">
        <f t="shared" si="309"/>
        <v>0</v>
      </c>
      <c r="JG58" s="280">
        <f t="shared" si="310"/>
        <v>0</v>
      </c>
      <c r="JH58" s="280">
        <f t="shared" si="311"/>
        <v>0</v>
      </c>
      <c r="JI58" s="280">
        <f t="shared" si="312"/>
        <v>0</v>
      </c>
      <c r="JJ58" s="280">
        <f t="shared" si="313"/>
        <v>0</v>
      </c>
      <c r="JK58" s="280">
        <f t="shared" si="314"/>
        <v>0</v>
      </c>
      <c r="JL58" s="280">
        <f t="shared" si="315"/>
        <v>0</v>
      </c>
      <c r="JM58" s="280">
        <f t="shared" si="316"/>
        <v>0</v>
      </c>
      <c r="JN58" s="280">
        <f t="shared" si="317"/>
        <v>0</v>
      </c>
      <c r="JO58" s="280">
        <f t="shared" si="318"/>
        <v>0</v>
      </c>
      <c r="JP58" s="280">
        <f t="shared" si="319"/>
        <v>0</v>
      </c>
      <c r="JQ58" s="280">
        <f t="shared" si="320"/>
        <v>0</v>
      </c>
      <c r="JR58" s="280">
        <f t="shared" si="321"/>
        <v>0</v>
      </c>
      <c r="JS58" s="44">
        <f t="shared" si="157"/>
        <v>1</v>
      </c>
      <c r="JT58" s="343" t="str">
        <f t="shared" si="158"/>
        <v>F</v>
      </c>
      <c r="JU58" s="44"/>
      <c r="JV58" s="280">
        <f t="shared" si="322"/>
        <v>1</v>
      </c>
      <c r="JW58" s="280">
        <f t="shared" si="323"/>
        <v>0</v>
      </c>
      <c r="JX58" s="280">
        <f t="shared" si="324"/>
        <v>0</v>
      </c>
      <c r="JY58" s="280">
        <f t="shared" si="325"/>
        <v>0</v>
      </c>
      <c r="JZ58" s="280">
        <f t="shared" si="326"/>
        <v>0</v>
      </c>
      <c r="KA58" s="280">
        <f t="shared" si="327"/>
        <v>0</v>
      </c>
      <c r="KB58" s="44">
        <f t="shared" si="160"/>
        <v>1</v>
      </c>
      <c r="KC58" s="343" t="str">
        <f t="shared" si="161"/>
        <v>F</v>
      </c>
      <c r="KD58" s="280"/>
      <c r="KE58" s="280"/>
      <c r="KF58" s="280"/>
      <c r="KG58" s="280"/>
      <c r="KH58" s="280"/>
      <c r="KI58" s="280"/>
      <c r="KJ58" s="280"/>
      <c r="KK58" s="280"/>
      <c r="KT58" s="282"/>
      <c r="KU58" s="235"/>
      <c r="NY58" s="544"/>
    </row>
    <row r="59" spans="1:391" ht="16.149999999999999" customHeight="1" x14ac:dyDescent="0.25">
      <c r="A59" s="431" t="str">
        <f t="shared" si="328"/>
        <v>LSE</v>
      </c>
      <c r="B59" s="1092">
        <f t="shared" si="329"/>
        <v>0</v>
      </c>
      <c r="C59" s="1092">
        <f t="shared" si="329"/>
        <v>0</v>
      </c>
      <c r="D59" s="1092">
        <f t="shared" si="329"/>
        <v>0</v>
      </c>
      <c r="E59" s="1092">
        <f t="shared" si="329"/>
        <v>0</v>
      </c>
      <c r="F59" s="1092">
        <f t="shared" si="329"/>
        <v>0</v>
      </c>
      <c r="G59" s="280">
        <f t="shared" si="335"/>
        <v>0</v>
      </c>
      <c r="H59" s="280">
        <f t="shared" si="335"/>
        <v>0</v>
      </c>
      <c r="I59" s="280">
        <f t="shared" si="335"/>
        <v>0</v>
      </c>
      <c r="J59" s="280">
        <f t="shared" si="335"/>
        <v>0</v>
      </c>
      <c r="K59" s="280">
        <f t="shared" si="335"/>
        <v>0</v>
      </c>
      <c r="L59" s="381">
        <f t="shared" si="345"/>
        <v>0</v>
      </c>
      <c r="M59" s="381">
        <f t="shared" si="346"/>
        <v>0</v>
      </c>
      <c r="N59" s="381">
        <f t="shared" si="347"/>
        <v>0</v>
      </c>
      <c r="O59" s="381">
        <f t="shared" si="348"/>
        <v>0</v>
      </c>
      <c r="P59" s="381">
        <f t="shared" si="349"/>
        <v>0</v>
      </c>
      <c r="Q59" s="220"/>
      <c r="R59" s="1090">
        <v>1</v>
      </c>
      <c r="S59" s="798"/>
      <c r="T59" s="1531"/>
      <c r="U59" s="431" t="s">
        <v>51</v>
      </c>
      <c r="V59" s="687"/>
      <c r="W59" s="687"/>
      <c r="X59" s="687"/>
      <c r="Y59" s="686">
        <v>4</v>
      </c>
      <c r="Z59" s="1085">
        <v>1</v>
      </c>
      <c r="AA59" s="1477">
        <v>300</v>
      </c>
      <c r="AB59" s="1477"/>
      <c r="AC59" s="684">
        <v>60</v>
      </c>
      <c r="AD59" s="684">
        <v>0</v>
      </c>
      <c r="AE59" s="684">
        <v>0</v>
      </c>
      <c r="AF59" s="684">
        <v>60</v>
      </c>
      <c r="AG59" s="1485" t="s">
        <v>54</v>
      </c>
      <c r="AH59" s="1485"/>
      <c r="AI59" s="1467" t="str">
        <f t="shared" si="350"/>
        <v xml:space="preserve"> </v>
      </c>
      <c r="AJ59" s="1468"/>
      <c r="AK59" s="707" t="str">
        <f t="shared" si="336"/>
        <v xml:space="preserve"> </v>
      </c>
      <c r="AL59" s="132"/>
      <c r="AM59" s="196" t="str">
        <f t="shared" si="360"/>
        <v xml:space="preserve"> </v>
      </c>
      <c r="AN59" s="196" t="str">
        <f>M99</f>
        <v xml:space="preserve"> </v>
      </c>
      <c r="AO59" s="348"/>
      <c r="AP59" s="776"/>
      <c r="AQ59" s="706"/>
      <c r="AR59" s="706"/>
      <c r="AS59" s="706"/>
      <c r="AT59" s="706"/>
      <c r="AU59" s="706"/>
      <c r="AV59" s="794"/>
      <c r="AW59" s="653"/>
      <c r="AX59" s="78">
        <f t="shared" si="279"/>
        <v>0</v>
      </c>
      <c r="AY59" s="78">
        <f t="shared" si="280"/>
        <v>0</v>
      </c>
      <c r="AZ59" s="78">
        <f t="shared" si="281"/>
        <v>0</v>
      </c>
      <c r="BA59" s="78">
        <f t="shared" si="282"/>
        <v>0</v>
      </c>
      <c r="BB59" s="78">
        <f t="shared" si="283"/>
        <v>0</v>
      </c>
      <c r="BC59" s="78">
        <f t="shared" si="284"/>
        <v>0</v>
      </c>
      <c r="BD59" s="78">
        <f t="shared" si="285"/>
        <v>0</v>
      </c>
      <c r="BE59" s="78">
        <f t="shared" si="286"/>
        <v>0</v>
      </c>
      <c r="BF59" s="78">
        <f t="shared" si="287"/>
        <v>0</v>
      </c>
      <c r="BG59" s="78">
        <f t="shared" si="288"/>
        <v>0</v>
      </c>
      <c r="BH59" s="78">
        <f t="shared" si="289"/>
        <v>0</v>
      </c>
      <c r="BI59" s="78">
        <f t="shared" si="290"/>
        <v>0</v>
      </c>
      <c r="BJ59" s="78">
        <f t="shared" si="291"/>
        <v>0</v>
      </c>
      <c r="BK59" s="78">
        <f t="shared" si="293"/>
        <v>0</v>
      </c>
      <c r="BM59" s="277"/>
      <c r="BN59" s="1060" t="s">
        <v>44</v>
      </c>
      <c r="BO59" s="1061"/>
      <c r="BP59" s="1062" t="str">
        <f t="shared" si="351"/>
        <v xml:space="preserve"> </v>
      </c>
      <c r="BQ59" s="1067" t="e">
        <f>'DEGREE MARK SIMULATOR'!CW59</f>
        <v>#NUM!</v>
      </c>
      <c r="BR59" s="1064" t="e">
        <f t="shared" si="361"/>
        <v>#NUM!</v>
      </c>
      <c r="BS59" s="1065"/>
      <c r="BT59" s="1065"/>
      <c r="BU59" s="1068"/>
      <c r="BV59" s="1065"/>
      <c r="BW59" s="1065"/>
      <c r="BX59" s="1066" t="str">
        <f t="shared" si="352"/>
        <v xml:space="preserve"> </v>
      </c>
      <c r="BY59" s="81" t="str">
        <f t="shared" si="353"/>
        <v xml:space="preserve"> </v>
      </c>
      <c r="BZ59" s="78">
        <f t="shared" si="362"/>
        <v>1</v>
      </c>
      <c r="CA59" s="448" t="s">
        <v>44</v>
      </c>
      <c r="CB59" s="117" t="s">
        <v>617</v>
      </c>
      <c r="CC59" s="159" t="s">
        <v>46</v>
      </c>
      <c r="CD59" s="37">
        <v>320</v>
      </c>
      <c r="CE59" s="35">
        <v>40</v>
      </c>
      <c r="CF59" s="35">
        <v>40</v>
      </c>
      <c r="CG59" s="36"/>
      <c r="CH59" s="36"/>
      <c r="CI59" s="37" t="s">
        <v>38</v>
      </c>
      <c r="CJ59" s="598">
        <v>3</v>
      </c>
      <c r="CK59" s="37">
        <v>4</v>
      </c>
      <c r="CL59" s="328" t="s">
        <v>904</v>
      </c>
      <c r="CM59" s="591">
        <f>BS37</f>
        <v>0</v>
      </c>
      <c r="CN59" s="328" t="s">
        <v>903</v>
      </c>
      <c r="CO59" s="591">
        <f>BR37</f>
        <v>0</v>
      </c>
      <c r="CP59" s="328" t="s">
        <v>902</v>
      </c>
      <c r="CQ59" s="591" t="e">
        <f>CT49</f>
        <v>#NUM!</v>
      </c>
      <c r="CR59" s="81">
        <f>CM59*6</f>
        <v>0</v>
      </c>
      <c r="CS59" s="81">
        <f>CO59*3</f>
        <v>0</v>
      </c>
      <c r="CT59" s="81" t="e">
        <f>CQ59*1</f>
        <v>#NUM!</v>
      </c>
      <c r="CU59" s="269">
        <v>10</v>
      </c>
      <c r="CV59" s="81" t="e">
        <f>CR59+CS59+CT59</f>
        <v>#NUM!</v>
      </c>
      <c r="CW59" s="613" t="e">
        <f t="shared" si="354"/>
        <v>#NUM!</v>
      </c>
      <c r="CX59" s="431" t="s">
        <v>44</v>
      </c>
      <c r="CY59" s="81"/>
      <c r="CZ59" s="81"/>
      <c r="DA59" s="81"/>
      <c r="DB59" s="81"/>
      <c r="DC59" s="81"/>
      <c r="DD59" s="81"/>
      <c r="DE59" s="81"/>
      <c r="DF59" s="81"/>
      <c r="DG59" s="81"/>
      <c r="DH59" s="81"/>
      <c r="DI59" s="81"/>
      <c r="DJ59" s="81"/>
      <c r="DK59" s="81"/>
      <c r="DL59" s="81"/>
      <c r="DM59" s="81"/>
      <c r="DN59" s="81"/>
      <c r="DO59" s="81"/>
      <c r="DP59" s="81"/>
      <c r="DQ59" s="428">
        <v>6</v>
      </c>
      <c r="DR59" s="368">
        <v>5.1000000000000004E-4</v>
      </c>
      <c r="DS59" s="351">
        <f t="shared" si="355"/>
        <v>0</v>
      </c>
      <c r="DT59" s="251" t="str">
        <f t="shared" si="355"/>
        <v>X</v>
      </c>
      <c r="DU59" s="251" t="str">
        <f t="shared" si="355"/>
        <v>X</v>
      </c>
      <c r="DV59" s="218">
        <f t="shared" si="337"/>
        <v>0</v>
      </c>
      <c r="DW59" s="352">
        <f t="shared" si="363"/>
        <v>1</v>
      </c>
      <c r="DX59" s="354" t="e">
        <f t="shared" si="331"/>
        <v>#NUM!</v>
      </c>
      <c r="DY59" s="354" t="e">
        <f t="shared" si="332"/>
        <v>#NUM!</v>
      </c>
      <c r="DZ59" s="355">
        <f t="shared" si="338"/>
        <v>0</v>
      </c>
      <c r="EA59" s="251">
        <f t="shared" si="339"/>
        <v>0</v>
      </c>
      <c r="EB59" s="218">
        <f t="shared" si="356"/>
        <v>0</v>
      </c>
      <c r="EC59" s="356">
        <f t="shared" si="340"/>
        <v>0</v>
      </c>
      <c r="ED59" s="258" t="e">
        <f t="shared" si="341"/>
        <v>#NUM!</v>
      </c>
      <c r="EE59" s="218">
        <f t="shared" si="357"/>
        <v>0</v>
      </c>
      <c r="EF59" s="218" t="str">
        <f t="shared" si="342"/>
        <v>x</v>
      </c>
      <c r="EG59" s="358">
        <f t="shared" si="343"/>
        <v>0</v>
      </c>
      <c r="EH59" s="358">
        <f t="shared" si="358"/>
        <v>0</v>
      </c>
      <c r="EI59" s="359">
        <f t="shared" si="334"/>
        <v>0</v>
      </c>
      <c r="EJ59" s="360">
        <f t="shared" si="359"/>
        <v>0</v>
      </c>
      <c r="EK59" s="361" t="e">
        <f t="shared" si="344"/>
        <v>#NUM!</v>
      </c>
      <c r="EL59" s="438"/>
      <c r="EM59" s="218"/>
      <c r="EN59" s="218"/>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81"/>
      <c r="FZ59" s="81"/>
      <c r="GA59" s="81"/>
      <c r="GB59" s="81"/>
      <c r="GC59" s="81"/>
      <c r="GD59" s="81"/>
      <c r="GE59" s="81"/>
      <c r="GF59" s="81"/>
      <c r="GG59" s="81"/>
      <c r="GH59" s="81"/>
      <c r="GI59" s="81"/>
      <c r="GJ59" s="81"/>
      <c r="GK59" s="81"/>
      <c r="GL59" s="635"/>
      <c r="GM59" s="277"/>
      <c r="GN59" s="378"/>
      <c r="GO59" s="218"/>
      <c r="GP59" s="81"/>
      <c r="GQ59" s="81"/>
      <c r="GR59" s="81"/>
      <c r="GS59" s="81"/>
      <c r="GT59" s="81"/>
      <c r="GU59" s="81"/>
      <c r="GV59" s="81"/>
      <c r="GW59" s="81"/>
      <c r="GX59" s="81"/>
      <c r="GY59" s="81"/>
      <c r="GZ59" s="81"/>
      <c r="HA59" s="81"/>
      <c r="HB59" s="81"/>
      <c r="HC59" s="365">
        <v>100</v>
      </c>
      <c r="HD59" s="367" t="e">
        <f>HK49</f>
        <v>#NUM!</v>
      </c>
      <c r="HE59" s="81"/>
      <c r="HF59" s="81"/>
      <c r="HG59" s="81">
        <v>120</v>
      </c>
      <c r="HH59" s="81">
        <v>100</v>
      </c>
      <c r="HI59" s="81"/>
      <c r="HJ59" s="81"/>
      <c r="HK59" s="81"/>
      <c r="HL59" s="81"/>
      <c r="HM59" s="81"/>
      <c r="HN59" s="81">
        <v>2</v>
      </c>
      <c r="HO59" s="636" t="s">
        <v>930</v>
      </c>
      <c r="HP59" s="81"/>
      <c r="HQ59" s="81"/>
      <c r="HR59" s="81">
        <v>105</v>
      </c>
      <c r="HS59" s="81">
        <v>105</v>
      </c>
      <c r="HT59" s="381">
        <v>3</v>
      </c>
      <c r="HU59" s="637" t="s">
        <v>935</v>
      </c>
      <c r="HV59" s="81"/>
      <c r="HW59" s="81"/>
      <c r="HX59" s="81"/>
      <c r="HY59" s="81"/>
      <c r="HZ59" s="81"/>
      <c r="IA59" s="81"/>
      <c r="IB59" s="81"/>
      <c r="IC59" s="81"/>
      <c r="ID59" s="81"/>
      <c r="IE59" s="81"/>
      <c r="IF59" s="81"/>
      <c r="IG59" s="81"/>
      <c r="IH59" s="81"/>
      <c r="II59" s="81"/>
      <c r="IJ59" s="81"/>
      <c r="IK59" s="44"/>
      <c r="IL59" s="44"/>
      <c r="IM59" s="280">
        <f t="shared" si="262"/>
        <v>25</v>
      </c>
      <c r="IN59" s="440">
        <f t="shared" ref="IN59:IN69" si="364">AO115</f>
        <v>0</v>
      </c>
      <c r="IO59" s="196" t="str">
        <f t="shared" si="154"/>
        <v xml:space="preserve"> </v>
      </c>
      <c r="IP59" s="342" t="str">
        <f>IF(IR59&gt;100,"??",IO59)</f>
        <v xml:space="preserve"> </v>
      </c>
      <c r="IQ59" s="280">
        <f t="shared" si="156"/>
        <v>0</v>
      </c>
      <c r="IR59" s="196">
        <f t="shared" ref="IR59:IR69" si="365">AM35</f>
        <v>0</v>
      </c>
      <c r="IS59" s="280">
        <f t="shared" si="296"/>
        <v>1</v>
      </c>
      <c r="IT59" s="280">
        <f t="shared" si="297"/>
        <v>0</v>
      </c>
      <c r="IU59" s="280">
        <f t="shared" si="298"/>
        <v>0</v>
      </c>
      <c r="IV59" s="280">
        <f t="shared" si="299"/>
        <v>0</v>
      </c>
      <c r="IW59" s="280">
        <f t="shared" si="300"/>
        <v>0</v>
      </c>
      <c r="IX59" s="280">
        <f t="shared" si="301"/>
        <v>0</v>
      </c>
      <c r="IY59" s="280">
        <f t="shared" si="302"/>
        <v>0</v>
      </c>
      <c r="IZ59" s="280">
        <f t="shared" si="303"/>
        <v>0</v>
      </c>
      <c r="JA59" s="280">
        <f t="shared" si="304"/>
        <v>0</v>
      </c>
      <c r="JB59" s="280">
        <f t="shared" si="305"/>
        <v>0</v>
      </c>
      <c r="JC59" s="280">
        <f t="shared" si="306"/>
        <v>0</v>
      </c>
      <c r="JD59" s="280">
        <f t="shared" si="307"/>
        <v>0</v>
      </c>
      <c r="JE59" s="280">
        <f t="shared" si="308"/>
        <v>0</v>
      </c>
      <c r="JF59" s="280">
        <f t="shared" si="309"/>
        <v>0</v>
      </c>
      <c r="JG59" s="280">
        <f t="shared" si="310"/>
        <v>0</v>
      </c>
      <c r="JH59" s="280">
        <f t="shared" si="311"/>
        <v>0</v>
      </c>
      <c r="JI59" s="280">
        <f t="shared" si="312"/>
        <v>0</v>
      </c>
      <c r="JJ59" s="280">
        <f t="shared" si="313"/>
        <v>0</v>
      </c>
      <c r="JK59" s="280">
        <f t="shared" si="314"/>
        <v>0</v>
      </c>
      <c r="JL59" s="280">
        <f t="shared" si="315"/>
        <v>0</v>
      </c>
      <c r="JM59" s="280">
        <f t="shared" si="316"/>
        <v>0</v>
      </c>
      <c r="JN59" s="280">
        <f t="shared" si="317"/>
        <v>0</v>
      </c>
      <c r="JO59" s="280">
        <f t="shared" si="318"/>
        <v>0</v>
      </c>
      <c r="JP59" s="280">
        <f t="shared" si="319"/>
        <v>0</v>
      </c>
      <c r="JQ59" s="280">
        <f t="shared" si="320"/>
        <v>0</v>
      </c>
      <c r="JR59" s="280">
        <f t="shared" si="321"/>
        <v>0</v>
      </c>
      <c r="JS59" s="44">
        <f t="shared" si="157"/>
        <v>1</v>
      </c>
      <c r="JT59" s="343" t="str">
        <f t="shared" si="158"/>
        <v>F</v>
      </c>
      <c r="JU59" s="44"/>
      <c r="JV59" s="280">
        <f t="shared" si="322"/>
        <v>1</v>
      </c>
      <c r="JW59" s="280">
        <f t="shared" si="323"/>
        <v>0</v>
      </c>
      <c r="JX59" s="280">
        <f t="shared" si="324"/>
        <v>0</v>
      </c>
      <c r="JY59" s="280">
        <f t="shared" si="325"/>
        <v>0</v>
      </c>
      <c r="JZ59" s="280">
        <f t="shared" si="326"/>
        <v>0</v>
      </c>
      <c r="KA59" s="280">
        <f t="shared" si="327"/>
        <v>0</v>
      </c>
      <c r="KB59" s="44">
        <f t="shared" si="160"/>
        <v>1</v>
      </c>
      <c r="KC59" s="343" t="str">
        <f t="shared" si="161"/>
        <v>F</v>
      </c>
      <c r="KD59" s="280"/>
      <c r="KE59" s="280"/>
      <c r="KF59" s="280"/>
      <c r="KG59" s="280"/>
      <c r="KH59" s="280"/>
      <c r="KI59" s="280"/>
      <c r="KJ59" s="280"/>
      <c r="KK59" s="280"/>
      <c r="KT59" s="282"/>
      <c r="NY59" s="544"/>
    </row>
    <row r="60" spans="1:391" ht="16.149999999999999" customHeight="1" x14ac:dyDescent="0.25">
      <c r="A60" s="431" t="str">
        <f t="shared" si="328"/>
        <v>Goldsmiths</v>
      </c>
      <c r="B60" s="1092">
        <f t="shared" si="329"/>
        <v>0</v>
      </c>
      <c r="C60" s="1092">
        <f t="shared" si="329"/>
        <v>0</v>
      </c>
      <c r="D60" s="1092">
        <f t="shared" si="329"/>
        <v>0</v>
      </c>
      <c r="E60" s="1092">
        <f t="shared" si="329"/>
        <v>0</v>
      </c>
      <c r="F60" s="1092">
        <f t="shared" si="329"/>
        <v>0</v>
      </c>
      <c r="G60" s="280">
        <f t="shared" si="335"/>
        <v>0</v>
      </c>
      <c r="H60" s="280">
        <f t="shared" si="335"/>
        <v>0</v>
      </c>
      <c r="I60" s="280">
        <f t="shared" si="335"/>
        <v>0</v>
      </c>
      <c r="J60" s="280">
        <f t="shared" si="335"/>
        <v>0</v>
      </c>
      <c r="K60" s="280">
        <f t="shared" si="335"/>
        <v>0</v>
      </c>
      <c r="L60" s="381">
        <f t="shared" si="345"/>
        <v>0</v>
      </c>
      <c r="M60" s="381">
        <f t="shared" si="346"/>
        <v>0</v>
      </c>
      <c r="N60" s="381">
        <f t="shared" si="347"/>
        <v>0</v>
      </c>
      <c r="O60" s="381">
        <f t="shared" si="348"/>
        <v>0</v>
      </c>
      <c r="P60" s="381">
        <f t="shared" si="349"/>
        <v>0</v>
      </c>
      <c r="Q60" s="220"/>
      <c r="R60" s="1090">
        <v>1</v>
      </c>
      <c r="S60" s="798"/>
      <c r="T60" s="1531"/>
      <c r="U60" s="431" t="s">
        <v>55</v>
      </c>
      <c r="V60" s="687"/>
      <c r="W60" s="687"/>
      <c r="X60" s="687"/>
      <c r="Y60" s="453">
        <v>5</v>
      </c>
      <c r="Z60" s="1086">
        <v>1</v>
      </c>
      <c r="AA60" s="1469">
        <v>300</v>
      </c>
      <c r="AB60" s="1469"/>
      <c r="AC60" s="617">
        <v>30</v>
      </c>
      <c r="AD60" s="617">
        <v>15</v>
      </c>
      <c r="AE60" s="617">
        <v>15</v>
      </c>
      <c r="AF60" s="617">
        <v>60</v>
      </c>
      <c r="AG60" s="1486" t="s">
        <v>33</v>
      </c>
      <c r="AH60" s="1486"/>
      <c r="AI60" s="1470" t="str">
        <f t="shared" si="350"/>
        <v xml:space="preserve"> </v>
      </c>
      <c r="AJ60" s="1471"/>
      <c r="AK60" s="707" t="str">
        <f t="shared" si="336"/>
        <v xml:space="preserve"> </v>
      </c>
      <c r="AL60" s="132"/>
      <c r="AM60" s="196" t="str">
        <f t="shared" si="360"/>
        <v xml:space="preserve"> </v>
      </c>
      <c r="AN60" s="196" t="str">
        <f>L99</f>
        <v xml:space="preserve"> </v>
      </c>
      <c r="AO60" s="348"/>
      <c r="AP60" s="776"/>
      <c r="AQ60" s="706"/>
      <c r="AR60" s="706"/>
      <c r="AS60" s="706"/>
      <c r="AT60" s="706"/>
      <c r="AU60" s="706"/>
      <c r="AV60" s="794"/>
      <c r="AW60" s="655"/>
      <c r="AX60" s="78">
        <f t="shared" si="279"/>
        <v>0</v>
      </c>
      <c r="AY60" s="78">
        <f t="shared" si="280"/>
        <v>0</v>
      </c>
      <c r="AZ60" s="78">
        <f t="shared" si="281"/>
        <v>0</v>
      </c>
      <c r="BA60" s="78">
        <f t="shared" si="282"/>
        <v>0</v>
      </c>
      <c r="BB60" s="78">
        <f t="shared" si="283"/>
        <v>0</v>
      </c>
      <c r="BC60" s="78">
        <f t="shared" si="284"/>
        <v>0</v>
      </c>
      <c r="BD60" s="78">
        <f t="shared" si="285"/>
        <v>0</v>
      </c>
      <c r="BE60" s="78">
        <f t="shared" si="286"/>
        <v>0</v>
      </c>
      <c r="BF60" s="78">
        <f t="shared" si="287"/>
        <v>0</v>
      </c>
      <c r="BG60" s="78">
        <f t="shared" si="288"/>
        <v>0</v>
      </c>
      <c r="BH60" s="78">
        <f t="shared" si="289"/>
        <v>0</v>
      </c>
      <c r="BI60" s="78">
        <f t="shared" si="290"/>
        <v>0</v>
      </c>
      <c r="BJ60" s="78">
        <f t="shared" si="291"/>
        <v>0</v>
      </c>
      <c r="BK60" s="78">
        <f t="shared" si="293"/>
        <v>0</v>
      </c>
      <c r="BM60" s="277"/>
      <c r="BN60" s="1060" t="s">
        <v>51</v>
      </c>
      <c r="BO60" s="1061"/>
      <c r="BP60" s="1069" t="str">
        <f t="shared" si="351"/>
        <v xml:space="preserve"> </v>
      </c>
      <c r="BQ60" s="1070" t="e">
        <f>'DEGREE MARK SIMULATOR'!CW60</f>
        <v>#NUM!</v>
      </c>
      <c r="BR60" s="1064" t="e">
        <f t="shared" si="361"/>
        <v>#NUM!</v>
      </c>
      <c r="BS60" s="1065"/>
      <c r="BT60" s="1065"/>
      <c r="BU60" s="1068"/>
      <c r="BV60" s="1065"/>
      <c r="BW60" s="1065"/>
      <c r="BX60" s="1066" t="str">
        <f t="shared" si="352"/>
        <v xml:space="preserve"> </v>
      </c>
      <c r="BY60" s="81" t="str">
        <f t="shared" si="353"/>
        <v xml:space="preserve"> </v>
      </c>
      <c r="BZ60" s="78">
        <f t="shared" si="362"/>
        <v>1</v>
      </c>
      <c r="CA60" s="55" t="s">
        <v>51</v>
      </c>
      <c r="CB60" s="117" t="s">
        <v>618</v>
      </c>
      <c r="CC60" s="159" t="s">
        <v>53</v>
      </c>
      <c r="CD60" s="37">
        <v>300</v>
      </c>
      <c r="CE60" s="35">
        <v>60</v>
      </c>
      <c r="CF60" s="35">
        <v>60</v>
      </c>
      <c r="CG60" s="36"/>
      <c r="CH60" s="36"/>
      <c r="CI60" s="152" t="s">
        <v>54</v>
      </c>
      <c r="CJ60" s="598">
        <v>4</v>
      </c>
      <c r="CK60" s="175">
        <v>5</v>
      </c>
      <c r="CL60" s="328" t="s">
        <v>904</v>
      </c>
      <c r="CM60" s="591">
        <f>BS37</f>
        <v>0</v>
      </c>
      <c r="CN60" s="328" t="s">
        <v>903</v>
      </c>
      <c r="CO60" s="591">
        <f>BR37</f>
        <v>0</v>
      </c>
      <c r="CP60" s="328" t="s">
        <v>902</v>
      </c>
      <c r="CQ60" s="595" t="e">
        <f>DA49</f>
        <v>#NUM!</v>
      </c>
      <c r="CR60" s="81"/>
      <c r="CS60" s="81"/>
      <c r="CT60" s="81"/>
      <c r="CU60" s="81">
        <v>3</v>
      </c>
      <c r="CV60" s="367" t="e">
        <f>CM60+CO60+CQ60</f>
        <v>#NUM!</v>
      </c>
      <c r="CW60" s="613" t="e">
        <f t="shared" si="354"/>
        <v>#NUM!</v>
      </c>
      <c r="CX60" s="431" t="s">
        <v>51</v>
      </c>
      <c r="CY60" s="81"/>
      <c r="CZ60" s="81"/>
      <c r="DA60" s="81"/>
      <c r="DB60" s="81"/>
      <c r="DC60" s="81"/>
      <c r="DD60" s="81"/>
      <c r="DE60" s="81"/>
      <c r="DF60" s="81"/>
      <c r="DG60" s="81"/>
      <c r="DH60" s="81"/>
      <c r="DI60" s="81"/>
      <c r="DJ60" s="81"/>
      <c r="DK60" s="81"/>
      <c r="DL60" s="81"/>
      <c r="DM60" s="81"/>
      <c r="DN60" s="81"/>
      <c r="DO60" s="81"/>
      <c r="DP60" s="81"/>
      <c r="DQ60" s="428">
        <v>7</v>
      </c>
      <c r="DR60" s="368">
        <v>6.1000000000000008E-4</v>
      </c>
      <c r="DS60" s="351">
        <f t="shared" si="355"/>
        <v>0</v>
      </c>
      <c r="DT60" s="251" t="str">
        <f t="shared" si="355"/>
        <v>X</v>
      </c>
      <c r="DU60" s="251" t="str">
        <f t="shared" si="355"/>
        <v>X</v>
      </c>
      <c r="DV60" s="218">
        <f t="shared" si="337"/>
        <v>0</v>
      </c>
      <c r="DW60" s="352">
        <f t="shared" si="363"/>
        <v>1</v>
      </c>
      <c r="DX60" s="354" t="e">
        <f t="shared" si="331"/>
        <v>#NUM!</v>
      </c>
      <c r="DY60" s="354" t="e">
        <f t="shared" si="332"/>
        <v>#NUM!</v>
      </c>
      <c r="DZ60" s="355">
        <f t="shared" si="338"/>
        <v>0</v>
      </c>
      <c r="EA60" s="251">
        <f t="shared" si="339"/>
        <v>0</v>
      </c>
      <c r="EB60" s="218">
        <f t="shared" si="356"/>
        <v>0</v>
      </c>
      <c r="EC60" s="356">
        <f t="shared" si="340"/>
        <v>0</v>
      </c>
      <c r="ED60" s="357" t="e">
        <f t="shared" si="341"/>
        <v>#NUM!</v>
      </c>
      <c r="EE60" s="218">
        <f t="shared" si="357"/>
        <v>0</v>
      </c>
      <c r="EF60" s="218" t="str">
        <f t="shared" si="342"/>
        <v>x</v>
      </c>
      <c r="EG60" s="358">
        <f t="shared" si="343"/>
        <v>0</v>
      </c>
      <c r="EH60" s="358">
        <f t="shared" si="358"/>
        <v>0</v>
      </c>
      <c r="EI60" s="359">
        <f t="shared" si="334"/>
        <v>0</v>
      </c>
      <c r="EJ60" s="360">
        <f t="shared" si="359"/>
        <v>0</v>
      </c>
      <c r="EK60" s="361" t="e">
        <f t="shared" si="344"/>
        <v>#NUM!</v>
      </c>
      <c r="EL60" s="218"/>
      <c r="EM60" s="218"/>
      <c r="EN60" s="218"/>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81"/>
      <c r="FY60" s="81"/>
      <c r="FZ60" s="81"/>
      <c r="GA60" s="81"/>
      <c r="GB60" s="81"/>
      <c r="GC60" s="81"/>
      <c r="GD60" s="81"/>
      <c r="GE60" s="81"/>
      <c r="GF60" s="81"/>
      <c r="GG60" s="81"/>
      <c r="GH60" s="81"/>
      <c r="GI60" s="81"/>
      <c r="GJ60" s="81"/>
      <c r="GK60" s="81"/>
      <c r="GL60" s="635"/>
      <c r="GM60" s="277"/>
      <c r="GN60" s="378"/>
      <c r="GO60" s="218"/>
      <c r="GP60" s="81"/>
      <c r="GQ60" s="81"/>
      <c r="GR60" s="81"/>
      <c r="GS60" s="81"/>
      <c r="GT60" s="81"/>
      <c r="GU60" s="81"/>
      <c r="GV60" s="81"/>
      <c r="GW60" s="81"/>
      <c r="GX60" s="81"/>
      <c r="GY60" s="81"/>
      <c r="GZ60" s="81"/>
      <c r="HA60" s="81"/>
      <c r="HB60" s="81"/>
      <c r="HC60" s="371">
        <v>20</v>
      </c>
      <c r="HD60" s="372">
        <f>II48</f>
        <v>0</v>
      </c>
      <c r="HE60" s="81"/>
      <c r="HF60" s="81"/>
      <c r="HG60" s="81">
        <f>ED48</f>
        <v>0</v>
      </c>
      <c r="HH60" s="81" t="e">
        <f>HK48</f>
        <v>#NUM!</v>
      </c>
      <c r="HI60" s="81"/>
      <c r="HJ60" s="81"/>
      <c r="HK60" s="81"/>
      <c r="HL60" s="81"/>
      <c r="HM60" s="81"/>
      <c r="HN60" s="81">
        <v>3</v>
      </c>
      <c r="HO60" s="636" t="s">
        <v>931</v>
      </c>
      <c r="HP60" s="81"/>
      <c r="HQ60" s="81"/>
      <c r="HR60" s="81">
        <v>120</v>
      </c>
      <c r="HS60" s="81">
        <v>90</v>
      </c>
      <c r="HT60" s="381">
        <v>2</v>
      </c>
      <c r="HU60" s="641" t="s">
        <v>933</v>
      </c>
      <c r="HV60" s="81"/>
      <c r="HW60" s="81"/>
      <c r="HX60" s="81"/>
      <c r="HY60" s="81"/>
      <c r="HZ60" s="81"/>
      <c r="IA60" s="81"/>
      <c r="IB60" s="81"/>
      <c r="IC60" s="81"/>
      <c r="ID60" s="81"/>
      <c r="IE60" s="81"/>
      <c r="IF60" s="81"/>
      <c r="IG60" s="81"/>
      <c r="IH60" s="81"/>
      <c r="II60" s="81"/>
      <c r="IJ60" s="81"/>
      <c r="IK60" s="44"/>
      <c r="IL60" s="44"/>
      <c r="IM60" s="280">
        <f t="shared" si="262"/>
        <v>26</v>
      </c>
      <c r="IN60" s="440">
        <f t="shared" si="364"/>
        <v>0</v>
      </c>
      <c r="IO60" s="196" t="str">
        <f t="shared" si="154"/>
        <v xml:space="preserve"> </v>
      </c>
      <c r="IP60" s="342" t="str">
        <f t="shared" ref="IP60:IP70" si="366">IF(IR60&gt;100,"??",IO60)</f>
        <v xml:space="preserve"> </v>
      </c>
      <c r="IQ60" s="280">
        <f t="shared" si="156"/>
        <v>0</v>
      </c>
      <c r="IR60" s="196">
        <f t="shared" si="365"/>
        <v>0</v>
      </c>
      <c r="IS60" s="280">
        <f t="shared" si="296"/>
        <v>1</v>
      </c>
      <c r="IT60" s="280">
        <f t="shared" si="297"/>
        <v>0</v>
      </c>
      <c r="IU60" s="280">
        <f t="shared" si="298"/>
        <v>0</v>
      </c>
      <c r="IV60" s="280">
        <f t="shared" si="299"/>
        <v>0</v>
      </c>
      <c r="IW60" s="280">
        <f t="shared" si="300"/>
        <v>0</v>
      </c>
      <c r="IX60" s="280">
        <f t="shared" si="301"/>
        <v>0</v>
      </c>
      <c r="IY60" s="280">
        <f t="shared" si="302"/>
        <v>0</v>
      </c>
      <c r="IZ60" s="280">
        <f t="shared" si="303"/>
        <v>0</v>
      </c>
      <c r="JA60" s="280">
        <f t="shared" si="304"/>
        <v>0</v>
      </c>
      <c r="JB60" s="280">
        <f t="shared" si="305"/>
        <v>0</v>
      </c>
      <c r="JC60" s="280">
        <f t="shared" si="306"/>
        <v>0</v>
      </c>
      <c r="JD60" s="280">
        <f t="shared" si="307"/>
        <v>0</v>
      </c>
      <c r="JE60" s="280">
        <f t="shared" si="308"/>
        <v>0</v>
      </c>
      <c r="JF60" s="280">
        <f t="shared" si="309"/>
        <v>0</v>
      </c>
      <c r="JG60" s="280">
        <f t="shared" si="310"/>
        <v>0</v>
      </c>
      <c r="JH60" s="280">
        <f t="shared" si="311"/>
        <v>0</v>
      </c>
      <c r="JI60" s="280">
        <f t="shared" si="312"/>
        <v>0</v>
      </c>
      <c r="JJ60" s="280">
        <f t="shared" si="313"/>
        <v>0</v>
      </c>
      <c r="JK60" s="280">
        <f t="shared" si="314"/>
        <v>0</v>
      </c>
      <c r="JL60" s="280">
        <f t="shared" si="315"/>
        <v>0</v>
      </c>
      <c r="JM60" s="280">
        <f t="shared" si="316"/>
        <v>0</v>
      </c>
      <c r="JN60" s="280">
        <f t="shared" si="317"/>
        <v>0</v>
      </c>
      <c r="JO60" s="280">
        <f t="shared" si="318"/>
        <v>0</v>
      </c>
      <c r="JP60" s="280">
        <f t="shared" si="319"/>
        <v>0</v>
      </c>
      <c r="JQ60" s="280">
        <f t="shared" si="320"/>
        <v>0</v>
      </c>
      <c r="JR60" s="280">
        <f t="shared" si="321"/>
        <v>0</v>
      </c>
      <c r="JS60" s="44">
        <f t="shared" si="157"/>
        <v>1</v>
      </c>
      <c r="JT60" s="343" t="str">
        <f t="shared" si="158"/>
        <v>F</v>
      </c>
      <c r="JU60" s="44"/>
      <c r="JV60" s="280">
        <f t="shared" si="322"/>
        <v>1</v>
      </c>
      <c r="JW60" s="280">
        <f t="shared" si="323"/>
        <v>0</v>
      </c>
      <c r="JX60" s="280">
        <f t="shared" si="324"/>
        <v>0</v>
      </c>
      <c r="JY60" s="280">
        <f t="shared" si="325"/>
        <v>0</v>
      </c>
      <c r="JZ60" s="280">
        <f t="shared" si="326"/>
        <v>0</v>
      </c>
      <c r="KA60" s="280">
        <f t="shared" si="327"/>
        <v>0</v>
      </c>
      <c r="KB60" s="44">
        <f t="shared" si="160"/>
        <v>1</v>
      </c>
      <c r="KC60" s="343" t="str">
        <f t="shared" si="161"/>
        <v>F</v>
      </c>
      <c r="KD60" s="280"/>
      <c r="KE60" s="280"/>
      <c r="KF60" s="280"/>
      <c r="KG60" s="280"/>
      <c r="KH60" s="280"/>
      <c r="KI60" s="280"/>
      <c r="KJ60" s="280"/>
      <c r="KK60" s="280"/>
      <c r="KT60" s="282"/>
      <c r="NY60" s="544"/>
    </row>
    <row r="61" spans="1:391" ht="16.149999999999999" customHeight="1" x14ac:dyDescent="0.25">
      <c r="A61" s="431"/>
      <c r="B61" s="1092"/>
      <c r="C61" s="1092"/>
      <c r="D61" s="1092"/>
      <c r="E61" s="1092"/>
      <c r="F61" s="1092"/>
      <c r="G61" s="280"/>
      <c r="H61" s="280"/>
      <c r="I61" s="280"/>
      <c r="J61" s="280"/>
      <c r="K61" s="280"/>
      <c r="L61" s="381"/>
      <c r="M61" s="381"/>
      <c r="N61" s="381"/>
      <c r="O61" s="381"/>
      <c r="P61" s="381"/>
      <c r="Q61" s="220"/>
      <c r="R61" s="1090" t="s">
        <v>29</v>
      </c>
      <c r="S61" s="798"/>
      <c r="T61" s="1531"/>
      <c r="U61" s="690" t="s">
        <v>946</v>
      </c>
      <c r="V61" s="442"/>
      <c r="W61" s="442"/>
      <c r="X61" s="442"/>
      <c r="Y61" s="313"/>
      <c r="Z61" s="1087" t="s">
        <v>29</v>
      </c>
      <c r="AA61" s="691"/>
      <c r="AB61" s="312"/>
      <c r="AC61" s="1119"/>
      <c r="AD61" s="1119"/>
      <c r="AE61" s="1119"/>
      <c r="AF61" s="1119"/>
      <c r="AG61" s="697"/>
      <c r="AH61" s="313"/>
      <c r="AI61" s="708"/>
      <c r="AJ61" s="795"/>
      <c r="AK61" s="1075"/>
      <c r="AL61" s="132"/>
      <c r="AM61" s="196" t="str">
        <f>R100</f>
        <v xml:space="preserve"> </v>
      </c>
      <c r="AN61" s="196" t="str">
        <f>P99</f>
        <v xml:space="preserve"> </v>
      </c>
      <c r="AO61" s="348"/>
      <c r="AP61" s="776"/>
      <c r="AQ61" s="706"/>
      <c r="AR61" s="706"/>
      <c r="AS61" s="706"/>
      <c r="AT61" s="706"/>
      <c r="AU61" s="706"/>
      <c r="AV61" s="794"/>
      <c r="AW61" s="655"/>
      <c r="AX61" s="441"/>
      <c r="AY61" s="441"/>
      <c r="AZ61" s="441"/>
      <c r="BA61" s="441"/>
      <c r="BB61" s="441"/>
      <c r="BC61" s="441"/>
      <c r="BD61" s="441"/>
      <c r="BE61" s="441"/>
      <c r="BF61" s="441"/>
      <c r="BG61" s="441"/>
      <c r="BH61" s="441"/>
      <c r="BI61" s="441"/>
      <c r="BJ61" s="277"/>
      <c r="BM61" s="277"/>
      <c r="BN61" s="1071" t="s">
        <v>55</v>
      </c>
      <c r="BO61" s="1072"/>
      <c r="BP61" s="1062" t="str">
        <f t="shared" si="351"/>
        <v xml:space="preserve"> </v>
      </c>
      <c r="BQ61" s="1067" t="e">
        <f>'DEGREE MARK SIMULATOR'!CW61</f>
        <v>#NUM!</v>
      </c>
      <c r="BR61" s="1073" t="e">
        <f t="shared" si="361"/>
        <v>#NUM!</v>
      </c>
      <c r="BS61" s="1065"/>
      <c r="BT61" s="1065"/>
      <c r="BU61" s="1068"/>
      <c r="BV61" s="1065"/>
      <c r="BW61" s="1065"/>
      <c r="BX61" s="1066" t="str">
        <f t="shared" si="352"/>
        <v xml:space="preserve"> </v>
      </c>
      <c r="BY61" s="81" t="str">
        <f t="shared" si="353"/>
        <v xml:space="preserve"> </v>
      </c>
      <c r="BZ61" s="78">
        <f t="shared" si="362"/>
        <v>1</v>
      </c>
      <c r="CA61" s="55" t="s">
        <v>55</v>
      </c>
      <c r="CB61" s="117" t="s">
        <v>619</v>
      </c>
      <c r="CC61" s="159" t="s">
        <v>57</v>
      </c>
      <c r="CD61" s="37">
        <v>300</v>
      </c>
      <c r="CE61" s="35">
        <v>60</v>
      </c>
      <c r="CF61" s="35">
        <v>30</v>
      </c>
      <c r="CG61" s="36">
        <v>15</v>
      </c>
      <c r="CH61" s="36">
        <v>15</v>
      </c>
      <c r="CI61" s="152" t="s">
        <v>33</v>
      </c>
      <c r="CJ61" s="598">
        <v>5</v>
      </c>
      <c r="CK61" s="175">
        <v>6</v>
      </c>
      <c r="CL61" s="328" t="s">
        <v>904</v>
      </c>
      <c r="CM61" s="591">
        <f>BS37</f>
        <v>0</v>
      </c>
      <c r="CN61" s="328" t="s">
        <v>903</v>
      </c>
      <c r="CO61" s="591" t="e">
        <f>$EK$49</f>
        <v>#NUM!</v>
      </c>
      <c r="CP61" s="328" t="s">
        <v>902</v>
      </c>
      <c r="CQ61" s="591" t="e">
        <f>$DH$49</f>
        <v>#NUM!</v>
      </c>
      <c r="CR61" s="81">
        <f>CM61*5</f>
        <v>0</v>
      </c>
      <c r="CS61" s="81" t="e">
        <f>CO61*3</f>
        <v>#NUM!</v>
      </c>
      <c r="CT61" s="81" t="e">
        <f>CQ61*1</f>
        <v>#NUM!</v>
      </c>
      <c r="CU61" s="81">
        <v>9</v>
      </c>
      <c r="CV61" s="367" t="e">
        <f>CR61+CS61+CT61</f>
        <v>#NUM!</v>
      </c>
      <c r="CW61" s="613" t="e">
        <f t="shared" si="354"/>
        <v>#NUM!</v>
      </c>
      <c r="CX61" s="431" t="s">
        <v>55</v>
      </c>
      <c r="CY61" s="81"/>
      <c r="CZ61" s="81"/>
      <c r="DA61" s="81"/>
      <c r="DB61" s="81"/>
      <c r="DC61" s="81"/>
      <c r="DD61" s="81"/>
      <c r="DE61" s="81"/>
      <c r="DF61" s="81"/>
      <c r="DG61" s="81"/>
      <c r="DH61" s="81"/>
      <c r="DI61" s="81"/>
      <c r="DJ61" s="81"/>
      <c r="DK61" s="81"/>
      <c r="DL61" s="81"/>
      <c r="DM61" s="81"/>
      <c r="DN61" s="81"/>
      <c r="DO61" s="81"/>
      <c r="DP61" s="81"/>
      <c r="DQ61" s="428">
        <v>8</v>
      </c>
      <c r="DR61" s="368">
        <v>7.1000000000000013E-4</v>
      </c>
      <c r="DS61" s="351">
        <f t="shared" si="355"/>
        <v>0</v>
      </c>
      <c r="DT61" s="251" t="str">
        <f t="shared" si="355"/>
        <v>X</v>
      </c>
      <c r="DU61" s="251" t="str">
        <f t="shared" si="355"/>
        <v>X</v>
      </c>
      <c r="DV61" s="218">
        <f t="shared" si="337"/>
        <v>0</v>
      </c>
      <c r="DW61" s="352">
        <f t="shared" si="363"/>
        <v>1</v>
      </c>
      <c r="DX61" s="354" t="e">
        <f t="shared" si="331"/>
        <v>#NUM!</v>
      </c>
      <c r="DY61" s="354" t="e">
        <f t="shared" si="332"/>
        <v>#NUM!</v>
      </c>
      <c r="DZ61" s="355">
        <f t="shared" si="338"/>
        <v>0</v>
      </c>
      <c r="EA61" s="251">
        <f t="shared" si="339"/>
        <v>0</v>
      </c>
      <c r="EB61" s="218">
        <f t="shared" si="356"/>
        <v>0</v>
      </c>
      <c r="EC61" s="356">
        <f t="shared" si="340"/>
        <v>0</v>
      </c>
      <c r="ED61" s="357" t="e">
        <f t="shared" si="341"/>
        <v>#NUM!</v>
      </c>
      <c r="EE61" s="218">
        <f t="shared" si="357"/>
        <v>0</v>
      </c>
      <c r="EF61" s="218" t="str">
        <f t="shared" si="342"/>
        <v>x</v>
      </c>
      <c r="EG61" s="358">
        <f t="shared" si="343"/>
        <v>0</v>
      </c>
      <c r="EH61" s="358">
        <f t="shared" si="358"/>
        <v>0</v>
      </c>
      <c r="EI61" s="359">
        <f t="shared" si="334"/>
        <v>0</v>
      </c>
      <c r="EJ61" s="360">
        <f t="shared" si="359"/>
        <v>0</v>
      </c>
      <c r="EK61" s="361" t="e">
        <f t="shared" si="344"/>
        <v>#NUM!</v>
      </c>
      <c r="EL61" s="218"/>
      <c r="EM61" s="218"/>
      <c r="EN61" s="218"/>
      <c r="EO61" s="81"/>
      <c r="EP61" s="81"/>
      <c r="EQ61" s="81"/>
      <c r="ER61" s="81"/>
      <c r="ES61" s="81"/>
      <c r="ET61" s="81"/>
      <c r="EU61" s="81"/>
      <c r="EV61" s="81"/>
      <c r="EW61" s="81"/>
      <c r="EX61" s="81"/>
      <c r="EY61" s="81"/>
      <c r="EZ61" s="81"/>
      <c r="FA61" s="81"/>
      <c r="FB61" s="81"/>
      <c r="FC61" s="81"/>
      <c r="FD61" s="81"/>
      <c r="FE61" s="81"/>
      <c r="FF61" s="81"/>
      <c r="FG61" s="81"/>
      <c r="FH61" s="81"/>
      <c r="FI61" s="81"/>
      <c r="FJ61" s="81"/>
      <c r="FK61" s="81"/>
      <c r="FL61" s="81"/>
      <c r="FM61" s="81"/>
      <c r="FN61" s="81"/>
      <c r="FO61" s="81"/>
      <c r="FP61" s="81"/>
      <c r="FQ61" s="81"/>
      <c r="FR61" s="81"/>
      <c r="FS61" s="81"/>
      <c r="FT61" s="81"/>
      <c r="FU61" s="81"/>
      <c r="FV61" s="81"/>
      <c r="FW61" s="81"/>
      <c r="FX61" s="81"/>
      <c r="FY61" s="81"/>
      <c r="FZ61" s="81"/>
      <c r="GA61" s="81"/>
      <c r="GB61" s="81"/>
      <c r="GC61" s="81"/>
      <c r="GD61" s="81"/>
      <c r="GE61" s="81"/>
      <c r="GF61" s="81"/>
      <c r="GG61" s="81"/>
      <c r="GH61" s="81"/>
      <c r="GI61" s="81"/>
      <c r="GJ61" s="81"/>
      <c r="GK61" s="81"/>
      <c r="GL61" s="635"/>
      <c r="GM61" s="277"/>
      <c r="GN61" s="378"/>
      <c r="GO61" s="218"/>
      <c r="GP61" s="81"/>
      <c r="GQ61" s="81"/>
      <c r="GR61" s="81"/>
      <c r="GS61" s="81"/>
      <c r="GT61" s="81"/>
      <c r="GU61" s="81"/>
      <c r="GV61" s="81"/>
      <c r="GW61" s="81"/>
      <c r="GX61" s="81"/>
      <c r="GY61" s="81"/>
      <c r="GZ61" s="81"/>
      <c r="HA61" s="81"/>
      <c r="HB61" s="81"/>
      <c r="HC61" s="81"/>
      <c r="HD61" s="81"/>
      <c r="HE61" s="81"/>
      <c r="HF61" s="81"/>
      <c r="HG61" s="466">
        <f>HG60/HG59</f>
        <v>0</v>
      </c>
      <c r="HH61" s="466" t="e">
        <f>HH60/HH59</f>
        <v>#NUM!</v>
      </c>
      <c r="HI61" s="81"/>
      <c r="HJ61" s="81"/>
      <c r="HK61" s="81"/>
      <c r="HL61" s="81"/>
      <c r="HM61" s="81"/>
      <c r="HN61" s="81"/>
      <c r="HO61" s="81"/>
      <c r="HP61" s="81"/>
      <c r="HQ61" s="81"/>
      <c r="HR61" s="81"/>
      <c r="HS61" s="81"/>
      <c r="HT61" s="81"/>
      <c r="HU61" s="81"/>
      <c r="HV61" s="81"/>
      <c r="HW61" s="81"/>
      <c r="HX61" s="81"/>
      <c r="HY61" s="81"/>
      <c r="HZ61" s="81"/>
      <c r="IA61" s="81"/>
      <c r="IB61" s="81"/>
      <c r="IC61" s="81"/>
      <c r="ID61" s="81"/>
      <c r="IE61" s="81"/>
      <c r="IF61" s="81"/>
      <c r="IG61" s="81"/>
      <c r="IH61" s="81"/>
      <c r="II61" s="81"/>
      <c r="IJ61" s="81"/>
      <c r="IK61" s="44"/>
      <c r="IL61" s="44"/>
      <c r="IM61" s="280">
        <f t="shared" si="262"/>
        <v>27</v>
      </c>
      <c r="IN61" s="440">
        <f t="shared" si="364"/>
        <v>0</v>
      </c>
      <c r="IO61" s="196" t="str">
        <f t="shared" si="154"/>
        <v xml:space="preserve"> </v>
      </c>
      <c r="IP61" s="342" t="str">
        <f t="shared" si="366"/>
        <v xml:space="preserve"> </v>
      </c>
      <c r="IQ61" s="280">
        <f t="shared" si="156"/>
        <v>0</v>
      </c>
      <c r="IR61" s="196">
        <f t="shared" si="365"/>
        <v>0</v>
      </c>
      <c r="IS61" s="280">
        <f t="shared" si="296"/>
        <v>1</v>
      </c>
      <c r="IT61" s="280">
        <f t="shared" si="297"/>
        <v>0</v>
      </c>
      <c r="IU61" s="280">
        <f t="shared" si="298"/>
        <v>0</v>
      </c>
      <c r="IV61" s="280">
        <f t="shared" si="299"/>
        <v>0</v>
      </c>
      <c r="IW61" s="280">
        <f t="shared" si="300"/>
        <v>0</v>
      </c>
      <c r="IX61" s="280">
        <f t="shared" si="301"/>
        <v>0</v>
      </c>
      <c r="IY61" s="280">
        <f t="shared" si="302"/>
        <v>0</v>
      </c>
      <c r="IZ61" s="280">
        <f t="shared" si="303"/>
        <v>0</v>
      </c>
      <c r="JA61" s="280">
        <f t="shared" si="304"/>
        <v>0</v>
      </c>
      <c r="JB61" s="280">
        <f t="shared" si="305"/>
        <v>0</v>
      </c>
      <c r="JC61" s="280">
        <f t="shared" si="306"/>
        <v>0</v>
      </c>
      <c r="JD61" s="280">
        <f t="shared" si="307"/>
        <v>0</v>
      </c>
      <c r="JE61" s="280">
        <f t="shared" si="308"/>
        <v>0</v>
      </c>
      <c r="JF61" s="280">
        <f t="shared" si="309"/>
        <v>0</v>
      </c>
      <c r="JG61" s="280">
        <f t="shared" si="310"/>
        <v>0</v>
      </c>
      <c r="JH61" s="280">
        <f t="shared" si="311"/>
        <v>0</v>
      </c>
      <c r="JI61" s="280">
        <f t="shared" si="312"/>
        <v>0</v>
      </c>
      <c r="JJ61" s="280">
        <f t="shared" si="313"/>
        <v>0</v>
      </c>
      <c r="JK61" s="280">
        <f t="shared" si="314"/>
        <v>0</v>
      </c>
      <c r="JL61" s="280">
        <f t="shared" si="315"/>
        <v>0</v>
      </c>
      <c r="JM61" s="280">
        <f t="shared" si="316"/>
        <v>0</v>
      </c>
      <c r="JN61" s="280">
        <f t="shared" si="317"/>
        <v>0</v>
      </c>
      <c r="JO61" s="280">
        <f t="shared" si="318"/>
        <v>0</v>
      </c>
      <c r="JP61" s="280">
        <f t="shared" si="319"/>
        <v>0</v>
      </c>
      <c r="JQ61" s="280">
        <f t="shared" si="320"/>
        <v>0</v>
      </c>
      <c r="JR61" s="280">
        <f t="shared" si="321"/>
        <v>0</v>
      </c>
      <c r="JS61" s="44">
        <f t="shared" si="157"/>
        <v>1</v>
      </c>
      <c r="JT61" s="343" t="str">
        <f t="shared" si="158"/>
        <v>F</v>
      </c>
      <c r="JU61" s="44"/>
      <c r="JV61" s="280">
        <f t="shared" si="322"/>
        <v>1</v>
      </c>
      <c r="JW61" s="280">
        <f t="shared" si="323"/>
        <v>0</v>
      </c>
      <c r="JX61" s="280">
        <f t="shared" si="324"/>
        <v>0</v>
      </c>
      <c r="JY61" s="280">
        <f t="shared" si="325"/>
        <v>0</v>
      </c>
      <c r="JZ61" s="280">
        <f t="shared" si="326"/>
        <v>0</v>
      </c>
      <c r="KA61" s="280">
        <f t="shared" si="327"/>
        <v>0</v>
      </c>
      <c r="KB61" s="44">
        <f t="shared" si="160"/>
        <v>1</v>
      </c>
      <c r="KC61" s="343" t="str">
        <f t="shared" si="161"/>
        <v>F</v>
      </c>
      <c r="KD61" s="280"/>
      <c r="KE61" s="280"/>
      <c r="KF61" s="280"/>
      <c r="KG61" s="280"/>
      <c r="KH61" s="280"/>
      <c r="KI61" s="280"/>
      <c r="KJ61" s="280"/>
      <c r="KK61" s="280"/>
      <c r="KT61" s="282"/>
      <c r="NY61" s="544"/>
    </row>
    <row r="62" spans="1:391" ht="16.149999999999999" customHeight="1" x14ac:dyDescent="0.25">
      <c r="A62" s="431" t="str">
        <f t="shared" ref="A62:A81" si="367">JU82</f>
        <v>Swansea</v>
      </c>
      <c r="B62" s="1092">
        <f t="shared" ref="B62:B82" si="368">JW82</f>
        <v>0</v>
      </c>
      <c r="C62" s="1092">
        <f t="shared" ref="C62:C82" si="369">JX82</f>
        <v>0</v>
      </c>
      <c r="D62" s="1092">
        <f t="shared" ref="D62:D82" si="370">JY82</f>
        <v>0</v>
      </c>
      <c r="E62" s="1092">
        <f t="shared" ref="E62:E82" si="371">JZ82</f>
        <v>0</v>
      </c>
      <c r="F62" s="1092">
        <f t="shared" ref="F62:F82" si="372">KA82</f>
        <v>0</v>
      </c>
      <c r="G62" s="280">
        <f t="shared" ref="G62:G94" si="373">IF(B62&gt;0,1,0)</f>
        <v>0</v>
      </c>
      <c r="H62" s="280">
        <f t="shared" ref="H62:H94" si="374">IF(C62&gt;0,1,0)</f>
        <v>0</v>
      </c>
      <c r="I62" s="280">
        <f t="shared" ref="I62:I94" si="375">IF(D62&gt;0,1,0)</f>
        <v>0</v>
      </c>
      <c r="J62" s="280">
        <f t="shared" ref="J62:J94" si="376">IF(E62&gt;0,1,0)</f>
        <v>0</v>
      </c>
      <c r="K62" s="280">
        <f t="shared" ref="K62:K94" si="377">IF(F62&gt;0,1,0)</f>
        <v>0</v>
      </c>
      <c r="L62" s="381">
        <f t="shared" ref="L62:L82" si="378">IF(G62=1,R62,0)</f>
        <v>0</v>
      </c>
      <c r="M62" s="381">
        <f t="shared" ref="M62:M82" si="379">IF(H62=1,R62,0)</f>
        <v>0</v>
      </c>
      <c r="N62" s="381">
        <f t="shared" ref="N62:N82" si="380">IF(I62=1,R62,0)</f>
        <v>0</v>
      </c>
      <c r="O62" s="381">
        <f t="shared" ref="O62:O81" si="381">IF(J62=1,R62,0)</f>
        <v>0</v>
      </c>
      <c r="P62" s="381">
        <f t="shared" ref="P62:P82" si="382">IF(K62=1,R62,0)</f>
        <v>0</v>
      </c>
      <c r="Q62" s="220"/>
      <c r="R62" s="1090">
        <v>1</v>
      </c>
      <c r="S62" s="798"/>
      <c r="T62" s="1531"/>
      <c r="U62" s="431" t="s">
        <v>402</v>
      </c>
      <c r="V62" s="687"/>
      <c r="W62" s="687"/>
      <c r="X62" s="687"/>
      <c r="Y62" s="689">
        <v>7</v>
      </c>
      <c r="Z62" s="1083">
        <v>1</v>
      </c>
      <c r="AA62" s="1472">
        <v>240</v>
      </c>
      <c r="AB62" s="1472"/>
      <c r="AC62" s="618">
        <v>0</v>
      </c>
      <c r="AD62" s="618">
        <v>0</v>
      </c>
      <c r="AE62" s="618">
        <v>0</v>
      </c>
      <c r="AF62" s="618">
        <v>0</v>
      </c>
      <c r="AG62" s="1466" t="s">
        <v>1128</v>
      </c>
      <c r="AH62" s="1466"/>
      <c r="AI62" s="1473" t="str">
        <f t="shared" ref="AI62:AI82" si="383">BP62</f>
        <v xml:space="preserve"> </v>
      </c>
      <c r="AJ62" s="1474"/>
      <c r="AK62" s="707" t="str">
        <f>BY62</f>
        <v xml:space="preserve"> </v>
      </c>
      <c r="AL62" s="801"/>
      <c r="AM62" s="801"/>
      <c r="AN62" s="951"/>
      <c r="AO62" s="348"/>
      <c r="AP62" s="776"/>
      <c r="AQ62" s="706"/>
      <c r="AR62" s="706"/>
      <c r="AS62" s="706"/>
      <c r="AT62" s="706"/>
      <c r="AU62" s="706"/>
      <c r="AV62" s="794"/>
      <c r="AW62" s="655"/>
      <c r="AX62" s="277"/>
      <c r="AY62" s="277"/>
      <c r="AZ62" s="277"/>
      <c r="BA62" s="277"/>
      <c r="BB62" s="277"/>
      <c r="BC62" s="277"/>
      <c r="BD62" s="277"/>
      <c r="BE62" s="277"/>
      <c r="BF62" s="277"/>
      <c r="BG62" s="277"/>
      <c r="BH62" s="277"/>
      <c r="BI62" s="277"/>
      <c r="BJ62" s="277"/>
      <c r="BK62" s="277"/>
      <c r="BM62" s="277"/>
      <c r="BN62" s="431" t="s">
        <v>402</v>
      </c>
      <c r="BO62" s="277"/>
      <c r="BP62" s="1059" t="str">
        <f t="shared" si="351"/>
        <v xml:space="preserve"> </v>
      </c>
      <c r="BQ62" s="699" t="e">
        <f>'DEGREE MARK SIMULATOR'!CW62</f>
        <v>#NUM!</v>
      </c>
      <c r="BR62" s="367" t="e">
        <f t="shared" si="361"/>
        <v>#NUM!</v>
      </c>
      <c r="BS62" s="81"/>
      <c r="BT62" s="81"/>
      <c r="BU62" s="282"/>
      <c r="BV62" s="81"/>
      <c r="BW62" s="81"/>
      <c r="BX62" s="196" t="str">
        <f t="shared" si="352"/>
        <v xml:space="preserve"> </v>
      </c>
      <c r="BY62" s="81" t="str">
        <f t="shared" si="353"/>
        <v xml:space="preserve"> </v>
      </c>
      <c r="BZ62" s="78">
        <f t="shared" si="362"/>
        <v>1</v>
      </c>
      <c r="CA62" s="55" t="s">
        <v>402</v>
      </c>
      <c r="CB62" s="132" t="s">
        <v>620</v>
      </c>
      <c r="CC62" s="138" t="s">
        <v>404</v>
      </c>
      <c r="CD62" s="37">
        <v>240</v>
      </c>
      <c r="CE62" s="35"/>
      <c r="CF62" s="35"/>
      <c r="CG62" s="36"/>
      <c r="CH62" s="36"/>
      <c r="CI62" s="614" t="s">
        <v>17</v>
      </c>
      <c r="CJ62" s="175">
        <v>7</v>
      </c>
      <c r="CK62" s="175">
        <v>10</v>
      </c>
      <c r="CL62" s="600" t="s">
        <v>906</v>
      </c>
      <c r="CM62" s="603" t="e">
        <f>HY49</f>
        <v>#NUM!</v>
      </c>
      <c r="CN62" s="600" t="s">
        <v>907</v>
      </c>
      <c r="CO62" s="894" t="e">
        <f>(HX50+GA48)/80</f>
        <v>#NUM!</v>
      </c>
      <c r="CP62" s="600" t="s">
        <v>908</v>
      </c>
      <c r="CQ62" s="78" t="e">
        <f>(FZ52)</f>
        <v>#NUM!</v>
      </c>
      <c r="CR62" s="78" t="e">
        <f>CM62*3</f>
        <v>#NUM!</v>
      </c>
      <c r="CS62" s="78" t="e">
        <f>CO62*2</f>
        <v>#NUM!</v>
      </c>
      <c r="CT62" s="78" t="e">
        <f>CQ62*1</f>
        <v>#NUM!</v>
      </c>
      <c r="CU62" s="269">
        <f>3+2+1</f>
        <v>6</v>
      </c>
      <c r="CV62" s="81" t="e">
        <f>CR62+CS62+CT62</f>
        <v>#NUM!</v>
      </c>
      <c r="CW62" s="613" t="e">
        <f>CV62/CU62</f>
        <v>#NUM!</v>
      </c>
      <c r="CX62" s="431" t="s">
        <v>402</v>
      </c>
      <c r="CY62" s="81"/>
      <c r="CZ62" s="81"/>
      <c r="DA62" s="81"/>
      <c r="DB62" s="81"/>
      <c r="DC62" s="81"/>
      <c r="DD62" s="81"/>
      <c r="DE62" s="81"/>
      <c r="DF62" s="81"/>
      <c r="DG62" s="81"/>
      <c r="DH62" s="81"/>
      <c r="DI62" s="81"/>
      <c r="DJ62" s="81"/>
      <c r="DK62" s="81"/>
      <c r="DL62" s="81"/>
      <c r="DM62" s="81"/>
      <c r="DN62" s="81"/>
      <c r="DO62" s="81"/>
      <c r="DP62" s="81"/>
      <c r="DQ62" s="428">
        <v>9</v>
      </c>
      <c r="DR62" s="368">
        <v>8.1000000000000017E-4</v>
      </c>
      <c r="DS62" s="351">
        <f t="shared" si="355"/>
        <v>0</v>
      </c>
      <c r="DT62" s="251" t="str">
        <f t="shared" si="355"/>
        <v>X</v>
      </c>
      <c r="DU62" s="251" t="str">
        <f t="shared" si="355"/>
        <v>X</v>
      </c>
      <c r="DV62" s="218">
        <f t="shared" si="337"/>
        <v>0</v>
      </c>
      <c r="DW62" s="352">
        <f t="shared" si="363"/>
        <v>1</v>
      </c>
      <c r="DX62" s="354" t="e">
        <f t="shared" si="331"/>
        <v>#NUM!</v>
      </c>
      <c r="DY62" s="354" t="e">
        <f t="shared" si="332"/>
        <v>#NUM!</v>
      </c>
      <c r="DZ62" s="355">
        <f t="shared" si="338"/>
        <v>0</v>
      </c>
      <c r="EA62" s="251">
        <f t="shared" si="339"/>
        <v>0</v>
      </c>
      <c r="EB62" s="218">
        <f t="shared" si="356"/>
        <v>0</v>
      </c>
      <c r="EC62" s="356">
        <f t="shared" si="340"/>
        <v>0</v>
      </c>
      <c r="ED62" s="357" t="e">
        <f t="shared" si="341"/>
        <v>#NUM!</v>
      </c>
      <c r="EE62" s="218">
        <f t="shared" si="357"/>
        <v>0</v>
      </c>
      <c r="EF62" s="218" t="str">
        <f t="shared" si="342"/>
        <v>x</v>
      </c>
      <c r="EG62" s="358">
        <f t="shared" si="343"/>
        <v>0</v>
      </c>
      <c r="EH62" s="358">
        <f t="shared" si="358"/>
        <v>0</v>
      </c>
      <c r="EI62" s="359">
        <f t="shared" si="334"/>
        <v>0</v>
      </c>
      <c r="EJ62" s="360">
        <f t="shared" si="359"/>
        <v>0</v>
      </c>
      <c r="EK62" s="361" t="e">
        <f t="shared" si="344"/>
        <v>#NUM!</v>
      </c>
      <c r="EL62" s="218"/>
      <c r="EM62" s="218"/>
      <c r="EN62" s="218"/>
      <c r="EO62" s="81"/>
      <c r="EP62" s="81"/>
      <c r="EQ62" s="81"/>
      <c r="ER62" s="81"/>
      <c r="ES62" s="81"/>
      <c r="ET62" s="81"/>
      <c r="EU62" s="81"/>
      <c r="EV62" s="81"/>
      <c r="EW62" s="81"/>
      <c r="EX62" s="81"/>
      <c r="EY62" s="81"/>
      <c r="EZ62" s="81"/>
      <c r="FA62" s="81"/>
      <c r="FB62" s="81"/>
      <c r="FC62" s="81"/>
      <c r="FD62" s="81"/>
      <c r="FE62" s="81"/>
      <c r="FF62" s="81"/>
      <c r="FG62" s="81"/>
      <c r="FH62" s="81"/>
      <c r="FI62" s="81"/>
      <c r="FJ62" s="81"/>
      <c r="FK62" s="81"/>
      <c r="FL62" s="81"/>
      <c r="FM62" s="81"/>
      <c r="FN62" s="81"/>
      <c r="FO62" s="81"/>
      <c r="FP62" s="81"/>
      <c r="FQ62" s="81"/>
      <c r="FR62" s="81"/>
      <c r="FS62" s="81"/>
      <c r="FT62" s="81"/>
      <c r="FU62" s="81"/>
      <c r="FV62" s="81"/>
      <c r="FW62" s="81"/>
      <c r="FX62" s="81"/>
      <c r="FY62" s="81"/>
      <c r="FZ62" s="81"/>
      <c r="GA62" s="81"/>
      <c r="GB62" s="81"/>
      <c r="GC62" s="81"/>
      <c r="GD62" s="81"/>
      <c r="GE62" s="81"/>
      <c r="GF62" s="81"/>
      <c r="GG62" s="81"/>
      <c r="GH62" s="81"/>
      <c r="GI62" s="81"/>
      <c r="GJ62" s="81"/>
      <c r="GK62" s="81"/>
      <c r="GL62" s="635"/>
      <c r="GM62" s="277"/>
      <c r="GN62" s="378"/>
      <c r="GO62" s="218"/>
      <c r="GP62" s="81"/>
      <c r="GQ62" s="81"/>
      <c r="GR62" s="81"/>
      <c r="GS62" s="81"/>
      <c r="GT62" s="81"/>
      <c r="GU62" s="81"/>
      <c r="GV62" s="81"/>
      <c r="GW62" s="81"/>
      <c r="GX62" s="81"/>
      <c r="GY62" s="81"/>
      <c r="GZ62" s="81"/>
      <c r="HA62" s="81"/>
      <c r="HB62" s="81"/>
      <c r="HC62" s="81"/>
      <c r="HD62" s="81"/>
      <c r="HE62" s="81"/>
      <c r="HF62" s="81"/>
      <c r="HG62" s="81"/>
      <c r="HH62" s="81"/>
      <c r="HI62" s="81">
        <v>54.6</v>
      </c>
      <c r="HJ62" s="81">
        <v>52.666666666666664</v>
      </c>
      <c r="HK62" s="81"/>
      <c r="HL62" s="81"/>
      <c r="HM62" s="81"/>
      <c r="HN62" s="81"/>
      <c r="HO62" s="81"/>
      <c r="HP62" s="81"/>
      <c r="HQ62" s="81"/>
      <c r="HR62" s="639" t="s">
        <v>904</v>
      </c>
      <c r="HS62" s="328" t="s">
        <v>903</v>
      </c>
      <c r="HT62" s="81"/>
      <c r="HU62" s="81"/>
      <c r="HV62" s="81"/>
      <c r="HW62" s="81"/>
      <c r="HX62" s="81"/>
      <c r="HY62" s="81"/>
      <c r="HZ62" s="81"/>
      <c r="IA62" s="81"/>
      <c r="IB62" s="81"/>
      <c r="IC62" s="81"/>
      <c r="ID62" s="81"/>
      <c r="IE62" s="81"/>
      <c r="IF62" s="81"/>
      <c r="IG62" s="81"/>
      <c r="IH62" s="81"/>
      <c r="II62" s="81"/>
      <c r="IJ62" s="81"/>
      <c r="IK62" s="44"/>
      <c r="IL62" s="44"/>
      <c r="IM62" s="280">
        <f t="shared" si="262"/>
        <v>28</v>
      </c>
      <c r="IN62" s="440">
        <f t="shared" si="364"/>
        <v>0</v>
      </c>
      <c r="IO62" s="196" t="str">
        <f t="shared" si="154"/>
        <v xml:space="preserve"> </v>
      </c>
      <c r="IP62" s="342" t="str">
        <f t="shared" si="366"/>
        <v xml:space="preserve"> </v>
      </c>
      <c r="IQ62" s="280">
        <f t="shared" si="156"/>
        <v>0</v>
      </c>
      <c r="IR62" s="196">
        <f t="shared" si="365"/>
        <v>0</v>
      </c>
      <c r="IS62" s="280">
        <f t="shared" si="296"/>
        <v>1</v>
      </c>
      <c r="IT62" s="280">
        <f t="shared" si="297"/>
        <v>0</v>
      </c>
      <c r="IU62" s="280">
        <f t="shared" si="298"/>
        <v>0</v>
      </c>
      <c r="IV62" s="280">
        <f t="shared" si="299"/>
        <v>0</v>
      </c>
      <c r="IW62" s="280">
        <f t="shared" si="300"/>
        <v>0</v>
      </c>
      <c r="IX62" s="280">
        <f t="shared" si="301"/>
        <v>0</v>
      </c>
      <c r="IY62" s="280">
        <f t="shared" si="302"/>
        <v>0</v>
      </c>
      <c r="IZ62" s="280">
        <f t="shared" si="303"/>
        <v>0</v>
      </c>
      <c r="JA62" s="280">
        <f t="shared" si="304"/>
        <v>0</v>
      </c>
      <c r="JB62" s="280">
        <f t="shared" si="305"/>
        <v>0</v>
      </c>
      <c r="JC62" s="280">
        <f t="shared" si="306"/>
        <v>0</v>
      </c>
      <c r="JD62" s="280">
        <f t="shared" si="307"/>
        <v>0</v>
      </c>
      <c r="JE62" s="280">
        <f t="shared" si="308"/>
        <v>0</v>
      </c>
      <c r="JF62" s="280">
        <f t="shared" si="309"/>
        <v>0</v>
      </c>
      <c r="JG62" s="280">
        <f t="shared" si="310"/>
        <v>0</v>
      </c>
      <c r="JH62" s="280">
        <f t="shared" si="311"/>
        <v>0</v>
      </c>
      <c r="JI62" s="280">
        <f t="shared" si="312"/>
        <v>0</v>
      </c>
      <c r="JJ62" s="280">
        <f t="shared" si="313"/>
        <v>0</v>
      </c>
      <c r="JK62" s="280">
        <f t="shared" si="314"/>
        <v>0</v>
      </c>
      <c r="JL62" s="280">
        <f t="shared" si="315"/>
        <v>0</v>
      </c>
      <c r="JM62" s="280">
        <f t="shared" si="316"/>
        <v>0</v>
      </c>
      <c r="JN62" s="280">
        <f t="shared" si="317"/>
        <v>0</v>
      </c>
      <c r="JO62" s="280">
        <f t="shared" si="318"/>
        <v>0</v>
      </c>
      <c r="JP62" s="280">
        <f t="shared" si="319"/>
        <v>0</v>
      </c>
      <c r="JQ62" s="280">
        <f t="shared" si="320"/>
        <v>0</v>
      </c>
      <c r="JR62" s="280">
        <f t="shared" si="321"/>
        <v>0</v>
      </c>
      <c r="JS62" s="44">
        <f t="shared" si="157"/>
        <v>1</v>
      </c>
      <c r="JT62" s="343" t="str">
        <f t="shared" si="158"/>
        <v>F</v>
      </c>
      <c r="JU62" s="44"/>
      <c r="JV62" s="280">
        <f t="shared" si="322"/>
        <v>1</v>
      </c>
      <c r="JW62" s="280">
        <f t="shared" si="323"/>
        <v>0</v>
      </c>
      <c r="JX62" s="280">
        <f t="shared" si="324"/>
        <v>0</v>
      </c>
      <c r="JY62" s="280">
        <f t="shared" si="325"/>
        <v>0</v>
      </c>
      <c r="JZ62" s="280">
        <f t="shared" si="326"/>
        <v>0</v>
      </c>
      <c r="KA62" s="280">
        <f t="shared" si="327"/>
        <v>0</v>
      </c>
      <c r="KB62" s="44">
        <f t="shared" si="160"/>
        <v>1</v>
      </c>
      <c r="KC62" s="343" t="str">
        <f t="shared" si="161"/>
        <v>F</v>
      </c>
      <c r="KD62" s="280"/>
      <c r="KE62" s="280"/>
      <c r="KF62" s="280"/>
      <c r="KG62" s="280"/>
      <c r="KH62" s="280"/>
      <c r="KI62" s="280"/>
      <c r="KJ62" s="280"/>
      <c r="KK62" s="280"/>
      <c r="NY62" s="544"/>
    </row>
    <row r="63" spans="1:391" ht="16.149999999999999" customHeight="1" x14ac:dyDescent="0.25">
      <c r="A63" s="431" t="str">
        <f t="shared" si="367"/>
        <v>London South Bank</v>
      </c>
      <c r="B63" s="1092">
        <f t="shared" si="368"/>
        <v>0</v>
      </c>
      <c r="C63" s="1092">
        <f t="shared" si="369"/>
        <v>0</v>
      </c>
      <c r="D63" s="1092">
        <f t="shared" si="370"/>
        <v>0</v>
      </c>
      <c r="E63" s="1092">
        <f t="shared" si="371"/>
        <v>0</v>
      </c>
      <c r="F63" s="1092">
        <f t="shared" si="372"/>
        <v>0</v>
      </c>
      <c r="G63" s="280">
        <f t="shared" si="373"/>
        <v>0</v>
      </c>
      <c r="H63" s="280">
        <f t="shared" si="374"/>
        <v>0</v>
      </c>
      <c r="I63" s="280">
        <f t="shared" si="375"/>
        <v>0</v>
      </c>
      <c r="J63" s="280">
        <f t="shared" si="376"/>
        <v>0</v>
      </c>
      <c r="K63" s="280">
        <f t="shared" si="377"/>
        <v>0</v>
      </c>
      <c r="L63" s="381">
        <f t="shared" si="378"/>
        <v>0</v>
      </c>
      <c r="M63" s="381">
        <f t="shared" si="379"/>
        <v>0</v>
      </c>
      <c r="N63" s="381">
        <f t="shared" si="380"/>
        <v>0</v>
      </c>
      <c r="O63" s="381">
        <f t="shared" si="381"/>
        <v>0</v>
      </c>
      <c r="P63" s="381">
        <f t="shared" si="382"/>
        <v>0</v>
      </c>
      <c r="Q63" s="220"/>
      <c r="R63" s="1090">
        <v>1</v>
      </c>
      <c r="S63" s="798"/>
      <c r="T63" s="1531"/>
      <c r="U63" s="431" t="s">
        <v>273</v>
      </c>
      <c r="V63" s="687"/>
      <c r="W63" s="687"/>
      <c r="X63" s="687"/>
      <c r="Y63" s="685">
        <v>7</v>
      </c>
      <c r="Z63" s="1084">
        <v>1</v>
      </c>
      <c r="AA63" s="1477">
        <v>240</v>
      </c>
      <c r="AB63" s="1477"/>
      <c r="AC63" s="684">
        <v>0</v>
      </c>
      <c r="AD63" s="684">
        <v>0</v>
      </c>
      <c r="AE63" s="684">
        <v>0</v>
      </c>
      <c r="AF63" s="684">
        <v>0</v>
      </c>
      <c r="AG63" s="1466" t="s">
        <v>1128</v>
      </c>
      <c r="AH63" s="1466"/>
      <c r="AI63" s="1467" t="str">
        <f t="shared" si="383"/>
        <v xml:space="preserve"> </v>
      </c>
      <c r="AJ63" s="1468"/>
      <c r="AK63" s="707" t="str">
        <f t="shared" ref="AK63:AK86" si="384">BY63</f>
        <v xml:space="preserve"> </v>
      </c>
      <c r="AL63" s="801"/>
      <c r="AM63" s="40"/>
      <c r="AN63" s="951"/>
      <c r="AO63" s="348"/>
      <c r="AP63" s="776"/>
      <c r="AQ63" s="706"/>
      <c r="AR63" s="706"/>
      <c r="AS63" s="706"/>
      <c r="AT63" s="706"/>
      <c r="AU63" s="706"/>
      <c r="AV63" s="794"/>
      <c r="AW63" s="655"/>
      <c r="AX63" s="78">
        <f t="shared" ref="AX63:AX74" si="385">IF($AL35=$AX$34,1,0)</f>
        <v>0</v>
      </c>
      <c r="AY63" s="78">
        <f t="shared" ref="AY63:AY74" si="386">IF($AL35=$AY$34,1,0)</f>
        <v>0</v>
      </c>
      <c r="AZ63" s="78">
        <f t="shared" ref="AZ63:AZ74" si="387">IF($AL35=$AZ$34,1,0)</f>
        <v>0</v>
      </c>
      <c r="BA63" s="78">
        <f t="shared" ref="BA63:BA74" si="388">IF($AL35=$BA$34,1,0)</f>
        <v>0</v>
      </c>
      <c r="BB63" s="78">
        <f t="shared" ref="BB63:BB74" si="389">IF($AL35=$BB$34,1,0)</f>
        <v>0</v>
      </c>
      <c r="BC63" s="78">
        <f t="shared" ref="BC63:BC74" si="390">IF($AL35=$BC$34,1,0)</f>
        <v>0</v>
      </c>
      <c r="BD63" s="78">
        <f t="shared" ref="BD63:BD74" si="391">IF($AL35=$BD$34,1,0)</f>
        <v>0</v>
      </c>
      <c r="BE63" s="78">
        <f t="shared" ref="BE63:BE74" si="392">IF($AL35=$BE$34,1,0)</f>
        <v>0</v>
      </c>
      <c r="BF63" s="78">
        <f t="shared" ref="BF63:BF74" si="393">IF($AL35=$BF$34,1,0)</f>
        <v>0</v>
      </c>
      <c r="BG63" s="78">
        <f t="shared" ref="BG63:BG74" si="394">IF($AL35=$BG$34,1,0)</f>
        <v>0</v>
      </c>
      <c r="BH63" s="78">
        <f t="shared" ref="BH63:BH74" si="395">IF($AL35=$BH$34,1,0)</f>
        <v>0</v>
      </c>
      <c r="BI63" s="78">
        <f t="shared" ref="BI63:BI74" si="396">IF($AL35=$BI$34,1,0)</f>
        <v>0</v>
      </c>
      <c r="BJ63" s="78">
        <f>SUM(AX63:BI63)</f>
        <v>0</v>
      </c>
      <c r="BK63" s="78">
        <f>COUNT(AL35)</f>
        <v>0</v>
      </c>
      <c r="BM63" s="277"/>
      <c r="BN63" s="431" t="s">
        <v>273</v>
      </c>
      <c r="BO63" s="277"/>
      <c r="BP63" s="701" t="str">
        <f t="shared" si="351"/>
        <v xml:space="preserve"> </v>
      </c>
      <c r="BQ63" s="693" t="e">
        <f>'DEGREE MARK SIMULATOR'!CW63</f>
        <v>#NUM!</v>
      </c>
      <c r="BR63" s="367" t="e">
        <f t="shared" si="361"/>
        <v>#NUM!</v>
      </c>
      <c r="BS63" s="81"/>
      <c r="BT63" s="81"/>
      <c r="BU63" s="282"/>
      <c r="BV63" s="81"/>
      <c r="BW63" s="81"/>
      <c r="BX63" s="196" t="str">
        <f t="shared" si="352"/>
        <v xml:space="preserve"> </v>
      </c>
      <c r="BY63" s="81" t="str">
        <f t="shared" si="353"/>
        <v xml:space="preserve"> </v>
      </c>
      <c r="BZ63" s="78">
        <f t="shared" si="362"/>
        <v>1</v>
      </c>
      <c r="CA63" s="55" t="s">
        <v>273</v>
      </c>
      <c r="CB63" s="132" t="s">
        <v>275</v>
      </c>
      <c r="CC63" s="138" t="s">
        <v>276</v>
      </c>
      <c r="CD63" s="37">
        <v>240</v>
      </c>
      <c r="CE63" s="35"/>
      <c r="CF63" s="35"/>
      <c r="CG63" s="36"/>
      <c r="CH63" s="36"/>
      <c r="CI63" s="614" t="s">
        <v>17</v>
      </c>
      <c r="CJ63" s="175">
        <v>7</v>
      </c>
      <c r="CK63" s="175">
        <v>11</v>
      </c>
      <c r="CL63" s="600" t="s">
        <v>906</v>
      </c>
      <c r="CM63" s="603" t="e">
        <f>HY49</f>
        <v>#NUM!</v>
      </c>
      <c r="CN63" s="41" t="s">
        <v>910</v>
      </c>
      <c r="CO63" s="895" t="e">
        <f>(HX50+ED48)/160</f>
        <v>#NUM!</v>
      </c>
      <c r="CP63" s="41"/>
      <c r="CR63" s="78" t="e">
        <f>CM63*0.8</f>
        <v>#NUM!</v>
      </c>
      <c r="CS63" s="78" t="e">
        <f>CO63*0.2</f>
        <v>#NUM!</v>
      </c>
      <c r="CW63" s="613" t="e">
        <f>CR63+CS63</f>
        <v>#NUM!</v>
      </c>
      <c r="CX63" s="431" t="s">
        <v>273</v>
      </c>
      <c r="CY63" s="81"/>
      <c r="CZ63" s="81"/>
      <c r="DA63" s="81"/>
      <c r="DB63" s="81"/>
      <c r="DC63" s="81"/>
      <c r="DD63" s="81"/>
      <c r="DE63" s="81"/>
      <c r="DF63" s="81"/>
      <c r="DG63" s="81"/>
      <c r="DH63" s="81"/>
      <c r="DI63" s="81"/>
      <c r="DJ63" s="81"/>
      <c r="DK63" s="81"/>
      <c r="DL63" s="81"/>
      <c r="DM63" s="81"/>
      <c r="DN63" s="81"/>
      <c r="DO63" s="81"/>
      <c r="DP63" s="81"/>
      <c r="DQ63" s="428">
        <v>10</v>
      </c>
      <c r="DR63" s="368">
        <v>9.1000000000000022E-4</v>
      </c>
      <c r="DS63" s="351">
        <f t="shared" si="355"/>
        <v>0</v>
      </c>
      <c r="DT63" s="251" t="str">
        <f t="shared" si="355"/>
        <v>X</v>
      </c>
      <c r="DU63" s="251" t="str">
        <f t="shared" si="355"/>
        <v>X</v>
      </c>
      <c r="DV63" s="218">
        <f t="shared" si="337"/>
        <v>0</v>
      </c>
      <c r="DW63" s="352">
        <f t="shared" si="363"/>
        <v>1</v>
      </c>
      <c r="DX63" s="354" t="e">
        <f t="shared" si="331"/>
        <v>#NUM!</v>
      </c>
      <c r="DY63" s="354" t="e">
        <f t="shared" si="332"/>
        <v>#NUM!</v>
      </c>
      <c r="DZ63" s="355">
        <f t="shared" si="338"/>
        <v>0</v>
      </c>
      <c r="EA63" s="251">
        <f t="shared" si="339"/>
        <v>0</v>
      </c>
      <c r="EB63" s="218">
        <f t="shared" si="356"/>
        <v>0</v>
      </c>
      <c r="EC63" s="356">
        <f t="shared" si="340"/>
        <v>0</v>
      </c>
      <c r="ED63" s="357" t="e">
        <f t="shared" si="341"/>
        <v>#NUM!</v>
      </c>
      <c r="EE63" s="218">
        <f t="shared" si="357"/>
        <v>0</v>
      </c>
      <c r="EF63" s="218" t="str">
        <f t="shared" si="342"/>
        <v>x</v>
      </c>
      <c r="EG63" s="358">
        <f t="shared" si="343"/>
        <v>0</v>
      </c>
      <c r="EH63" s="358">
        <f t="shared" si="358"/>
        <v>0</v>
      </c>
      <c r="EI63" s="359">
        <f t="shared" si="334"/>
        <v>0</v>
      </c>
      <c r="EJ63" s="360">
        <f t="shared" si="359"/>
        <v>0</v>
      </c>
      <c r="EK63" s="361" t="e">
        <f t="shared" si="344"/>
        <v>#NUM!</v>
      </c>
      <c r="EL63" s="218"/>
      <c r="EM63" s="218"/>
      <c r="EN63" s="218"/>
      <c r="EO63" s="81"/>
      <c r="EP63" s="81"/>
      <c r="EQ63" s="81"/>
      <c r="ER63" s="81"/>
      <c r="ES63" s="81"/>
      <c r="ET63" s="81"/>
      <c r="EU63" s="81"/>
      <c r="EV63" s="81"/>
      <c r="EW63" s="81"/>
      <c r="EX63" s="81"/>
      <c r="EY63" s="81"/>
      <c r="EZ63" s="81"/>
      <c r="FA63" s="81"/>
      <c r="FB63" s="81"/>
      <c r="FC63" s="81"/>
      <c r="FD63" s="81"/>
      <c r="FE63" s="81"/>
      <c r="FF63" s="81"/>
      <c r="FG63" s="81"/>
      <c r="FH63" s="81"/>
      <c r="FI63" s="81"/>
      <c r="FJ63" s="81"/>
      <c r="FK63" s="81"/>
      <c r="FL63" s="81"/>
      <c r="FM63" s="81"/>
      <c r="FN63" s="81"/>
      <c r="FO63" s="81"/>
      <c r="FP63" s="81"/>
      <c r="FQ63" s="81"/>
      <c r="FR63" s="81"/>
      <c r="FS63" s="81"/>
      <c r="FT63" s="81"/>
      <c r="FU63" s="81"/>
      <c r="FV63" s="81"/>
      <c r="FW63" s="81"/>
      <c r="FX63" s="81"/>
      <c r="FY63" s="81"/>
      <c r="FZ63" s="81"/>
      <c r="GA63" s="81"/>
      <c r="GB63" s="81"/>
      <c r="GC63" s="81"/>
      <c r="GD63" s="81"/>
      <c r="GE63" s="81"/>
      <c r="GF63" s="81"/>
      <c r="GG63" s="81"/>
      <c r="GH63" s="81"/>
      <c r="GI63" s="81"/>
      <c r="GJ63" s="81"/>
      <c r="GK63" s="81"/>
      <c r="GL63" s="81"/>
      <c r="GM63" s="81"/>
      <c r="GN63" s="81"/>
      <c r="GO63" s="81"/>
      <c r="GP63" s="81"/>
      <c r="GQ63" s="81"/>
      <c r="GR63" s="81"/>
      <c r="GS63" s="81"/>
      <c r="GT63" s="81"/>
      <c r="GU63" s="81"/>
      <c r="GV63" s="81"/>
      <c r="GW63" s="81"/>
      <c r="GX63" s="81"/>
      <c r="GY63" s="81"/>
      <c r="GZ63" s="81"/>
      <c r="HA63" s="81"/>
      <c r="HB63" s="81"/>
      <c r="HC63" s="81"/>
      <c r="HD63" s="81"/>
      <c r="HE63" s="81"/>
      <c r="HF63" s="81"/>
      <c r="HG63" s="81"/>
      <c r="HH63" s="81"/>
      <c r="HI63" s="81"/>
      <c r="HJ63" s="81"/>
      <c r="HK63" s="81"/>
      <c r="HL63" s="81"/>
      <c r="HM63" s="81"/>
      <c r="HN63" s="81"/>
      <c r="HO63" s="328" t="s">
        <v>932</v>
      </c>
      <c r="HP63" s="81">
        <v>15</v>
      </c>
      <c r="HQ63" s="81"/>
      <c r="HR63" s="640" t="e">
        <f>HC51</f>
        <v>#NUM!</v>
      </c>
      <c r="HS63" s="367" t="e">
        <f>EJ51</f>
        <v>#NUM!</v>
      </c>
      <c r="HT63" s="277" t="e">
        <f>IF(HS63&gt;=HR63,1,0)</f>
        <v>#NUM!</v>
      </c>
      <c r="IJ63" s="81"/>
      <c r="IM63" s="280">
        <f t="shared" si="262"/>
        <v>29</v>
      </c>
      <c r="IN63" s="440">
        <f t="shared" si="364"/>
        <v>0</v>
      </c>
      <c r="IO63" s="196" t="str">
        <f>IF(IN63=1,JT63," ")</f>
        <v xml:space="preserve"> </v>
      </c>
      <c r="IP63" s="342" t="str">
        <f t="shared" si="366"/>
        <v xml:space="preserve"> </v>
      </c>
      <c r="IQ63" s="280">
        <f t="shared" si="156"/>
        <v>0</v>
      </c>
      <c r="IR63" s="196">
        <f t="shared" si="365"/>
        <v>0</v>
      </c>
      <c r="IS63" s="280">
        <f t="shared" si="296"/>
        <v>1</v>
      </c>
      <c r="IT63" s="280">
        <f t="shared" si="297"/>
        <v>0</v>
      </c>
      <c r="IU63" s="280">
        <f t="shared" si="298"/>
        <v>0</v>
      </c>
      <c r="IV63" s="280">
        <f t="shared" si="299"/>
        <v>0</v>
      </c>
      <c r="IW63" s="280">
        <f t="shared" si="300"/>
        <v>0</v>
      </c>
      <c r="IX63" s="280">
        <f t="shared" si="301"/>
        <v>0</v>
      </c>
      <c r="IY63" s="280">
        <f t="shared" si="302"/>
        <v>0</v>
      </c>
      <c r="IZ63" s="280">
        <f t="shared" si="303"/>
        <v>0</v>
      </c>
      <c r="JA63" s="280">
        <f t="shared" si="304"/>
        <v>0</v>
      </c>
      <c r="JB63" s="280">
        <f t="shared" si="305"/>
        <v>0</v>
      </c>
      <c r="JC63" s="280">
        <f t="shared" si="306"/>
        <v>0</v>
      </c>
      <c r="JD63" s="280">
        <f t="shared" si="307"/>
        <v>0</v>
      </c>
      <c r="JE63" s="280">
        <f t="shared" si="308"/>
        <v>0</v>
      </c>
      <c r="JF63" s="280">
        <f t="shared" si="309"/>
        <v>0</v>
      </c>
      <c r="JG63" s="280">
        <f t="shared" si="310"/>
        <v>0</v>
      </c>
      <c r="JH63" s="280">
        <f t="shared" si="311"/>
        <v>0</v>
      </c>
      <c r="JI63" s="280">
        <f t="shared" si="312"/>
        <v>0</v>
      </c>
      <c r="JJ63" s="280">
        <f t="shared" si="313"/>
        <v>0</v>
      </c>
      <c r="JK63" s="280">
        <f t="shared" si="314"/>
        <v>0</v>
      </c>
      <c r="JL63" s="280">
        <f t="shared" si="315"/>
        <v>0</v>
      </c>
      <c r="JM63" s="280">
        <f t="shared" si="316"/>
        <v>0</v>
      </c>
      <c r="JN63" s="280">
        <f t="shared" si="317"/>
        <v>0</v>
      </c>
      <c r="JO63" s="280">
        <f t="shared" si="318"/>
        <v>0</v>
      </c>
      <c r="JP63" s="280">
        <f t="shared" si="319"/>
        <v>0</v>
      </c>
      <c r="JQ63" s="280">
        <f t="shared" si="320"/>
        <v>0</v>
      </c>
      <c r="JR63" s="280">
        <f t="shared" si="321"/>
        <v>0</v>
      </c>
      <c r="JS63" s="44">
        <f t="shared" si="157"/>
        <v>1</v>
      </c>
      <c r="JT63" s="343" t="str">
        <f t="shared" si="158"/>
        <v>F</v>
      </c>
      <c r="JU63" s="44"/>
      <c r="JV63" s="280">
        <f t="shared" si="322"/>
        <v>1</v>
      </c>
      <c r="JW63" s="280">
        <f t="shared" si="323"/>
        <v>0</v>
      </c>
      <c r="JX63" s="280">
        <f t="shared" si="324"/>
        <v>0</v>
      </c>
      <c r="JY63" s="280">
        <f t="shared" si="325"/>
        <v>0</v>
      </c>
      <c r="JZ63" s="280">
        <f t="shared" si="326"/>
        <v>0</v>
      </c>
      <c r="KA63" s="280">
        <f t="shared" si="327"/>
        <v>0</v>
      </c>
      <c r="KB63" s="44">
        <f t="shared" si="160"/>
        <v>1</v>
      </c>
      <c r="KC63" s="343" t="str">
        <f t="shared" si="161"/>
        <v>F</v>
      </c>
      <c r="KE63" s="280"/>
      <c r="KF63" s="280"/>
      <c r="KG63" s="280"/>
      <c r="NY63" s="544"/>
    </row>
    <row r="64" spans="1:391" ht="16.149999999999999" customHeight="1" x14ac:dyDescent="0.25">
      <c r="A64" s="431" t="str">
        <f t="shared" si="367"/>
        <v>Abertay</v>
      </c>
      <c r="B64" s="1092">
        <f t="shared" si="368"/>
        <v>0</v>
      </c>
      <c r="C64" s="1092">
        <f t="shared" si="369"/>
        <v>0</v>
      </c>
      <c r="D64" s="1092">
        <f t="shared" si="370"/>
        <v>0</v>
      </c>
      <c r="E64" s="1092">
        <f t="shared" si="371"/>
        <v>0</v>
      </c>
      <c r="F64" s="1092">
        <f t="shared" si="372"/>
        <v>0</v>
      </c>
      <c r="G64" s="280">
        <f t="shared" si="373"/>
        <v>0</v>
      </c>
      <c r="H64" s="280">
        <f t="shared" si="374"/>
        <v>0</v>
      </c>
      <c r="I64" s="280">
        <f t="shared" si="375"/>
        <v>0</v>
      </c>
      <c r="J64" s="280">
        <f t="shared" si="376"/>
        <v>0</v>
      </c>
      <c r="K64" s="280">
        <f t="shared" si="377"/>
        <v>0</v>
      </c>
      <c r="L64" s="381">
        <f t="shared" si="378"/>
        <v>0</v>
      </c>
      <c r="M64" s="381">
        <f t="shared" si="379"/>
        <v>0</v>
      </c>
      <c r="N64" s="381">
        <f t="shared" si="380"/>
        <v>0</v>
      </c>
      <c r="O64" s="381">
        <f t="shared" si="381"/>
        <v>0</v>
      </c>
      <c r="P64" s="381">
        <f t="shared" si="382"/>
        <v>0</v>
      </c>
      <c r="Q64" s="220"/>
      <c r="R64" s="1090">
        <v>8</v>
      </c>
      <c r="S64" s="798"/>
      <c r="T64" s="1531"/>
      <c r="U64" s="431" t="s">
        <v>73</v>
      </c>
      <c r="V64" s="687"/>
      <c r="W64" s="687"/>
      <c r="X64" s="687"/>
      <c r="Y64" s="686">
        <v>8</v>
      </c>
      <c r="Z64" s="1085">
        <v>8</v>
      </c>
      <c r="AA64" s="1477">
        <v>240</v>
      </c>
      <c r="AB64" s="1477"/>
      <c r="AC64" s="684">
        <v>0</v>
      </c>
      <c r="AD64" s="684">
        <v>0</v>
      </c>
      <c r="AE64" s="684">
        <v>0</v>
      </c>
      <c r="AF64" s="684">
        <v>0</v>
      </c>
      <c r="AG64" s="1477" t="s">
        <v>16</v>
      </c>
      <c r="AH64" s="1477"/>
      <c r="AI64" s="1467" t="str">
        <f t="shared" si="383"/>
        <v xml:space="preserve"> </v>
      </c>
      <c r="AJ64" s="1468"/>
      <c r="AK64" s="707" t="str">
        <f t="shared" si="384"/>
        <v xml:space="preserve"> </v>
      </c>
      <c r="AL64" s="801"/>
      <c r="AM64" s="801"/>
      <c r="AN64" s="801"/>
      <c r="AO64" s="348"/>
      <c r="AP64" s="776"/>
      <c r="AQ64" s="706"/>
      <c r="AR64" s="706"/>
      <c r="AS64" s="706"/>
      <c r="AT64" s="706"/>
      <c r="AU64" s="706"/>
      <c r="AV64" s="794"/>
      <c r="AW64" s="655"/>
      <c r="AX64" s="78">
        <f t="shared" si="385"/>
        <v>0</v>
      </c>
      <c r="AY64" s="78">
        <f t="shared" si="386"/>
        <v>0</v>
      </c>
      <c r="AZ64" s="78">
        <f t="shared" si="387"/>
        <v>0</v>
      </c>
      <c r="BA64" s="78">
        <f t="shared" si="388"/>
        <v>0</v>
      </c>
      <c r="BB64" s="78">
        <f t="shared" si="389"/>
        <v>0</v>
      </c>
      <c r="BC64" s="78">
        <f t="shared" si="390"/>
        <v>0</v>
      </c>
      <c r="BD64" s="78">
        <f t="shared" si="391"/>
        <v>0</v>
      </c>
      <c r="BE64" s="78">
        <f t="shared" si="392"/>
        <v>0</v>
      </c>
      <c r="BF64" s="78">
        <f t="shared" si="393"/>
        <v>0</v>
      </c>
      <c r="BG64" s="78">
        <f t="shared" si="394"/>
        <v>0</v>
      </c>
      <c r="BH64" s="78">
        <f t="shared" si="395"/>
        <v>0</v>
      </c>
      <c r="BI64" s="78">
        <f t="shared" si="396"/>
        <v>0</v>
      </c>
      <c r="BJ64" s="78">
        <f t="shared" ref="BJ64:BJ74" si="397">SUM(AX64:BI64)</f>
        <v>0</v>
      </c>
      <c r="BK64" s="78">
        <f t="shared" ref="BK64:BK74" si="398">COUNT(AL36)</f>
        <v>0</v>
      </c>
      <c r="BM64" s="277"/>
      <c r="BN64" s="431" t="s">
        <v>73</v>
      </c>
      <c r="BO64" s="277"/>
      <c r="BP64" s="701" t="str">
        <f t="shared" si="351"/>
        <v xml:space="preserve"> </v>
      </c>
      <c r="BQ64" s="693">
        <f>'DEGREE MARK SIMULATOR'!CW64</f>
        <v>0</v>
      </c>
      <c r="BR64" s="367">
        <f t="shared" si="361"/>
        <v>0</v>
      </c>
      <c r="BS64" s="81"/>
      <c r="BT64" s="81"/>
      <c r="BU64" s="282"/>
      <c r="BX64" s="196" t="str">
        <f t="shared" si="352"/>
        <v xml:space="preserve"> </v>
      </c>
      <c r="BY64" s="81" t="str">
        <f t="shared" si="353"/>
        <v xml:space="preserve"> </v>
      </c>
      <c r="BZ64" s="78">
        <f t="shared" si="362"/>
        <v>1</v>
      </c>
      <c r="CA64" s="55" t="s">
        <v>73</v>
      </c>
      <c r="CB64" s="132" t="s">
        <v>623</v>
      </c>
      <c r="CC64" s="138" t="s">
        <v>891</v>
      </c>
      <c r="CD64" s="37">
        <v>240</v>
      </c>
      <c r="CE64" s="35"/>
      <c r="CF64" s="35"/>
      <c r="CG64" s="35"/>
      <c r="CH64" s="35"/>
      <c r="CI64" s="37" t="s">
        <v>16</v>
      </c>
      <c r="CJ64" s="311">
        <v>8</v>
      </c>
      <c r="CK64" s="37">
        <v>12</v>
      </c>
      <c r="CL64" s="41" t="s">
        <v>904</v>
      </c>
      <c r="CM64" s="605">
        <f>BS37</f>
        <v>0</v>
      </c>
      <c r="CN64" s="41" t="s">
        <v>903</v>
      </c>
      <c r="CO64" s="604">
        <f>BR37</f>
        <v>0</v>
      </c>
      <c r="CR64" s="78">
        <f>CM64*0.5</f>
        <v>0</v>
      </c>
      <c r="CS64" s="78">
        <f>CO64*0.5</f>
        <v>0</v>
      </c>
      <c r="CT64" s="78" t="str">
        <f t="shared" ref="CT64:CT71" si="399">CI64</f>
        <v>50 - 50</v>
      </c>
      <c r="CW64" s="613">
        <f t="shared" ref="CW64:CW74" si="400">CR64+CS64</f>
        <v>0</v>
      </c>
      <c r="CX64" s="431" t="s">
        <v>73</v>
      </c>
      <c r="DQ64" s="428">
        <v>11</v>
      </c>
      <c r="DR64" s="368">
        <v>1.0100000000000003E-3</v>
      </c>
      <c r="DS64" s="351">
        <f t="shared" si="355"/>
        <v>0</v>
      </c>
      <c r="DT64" s="251" t="str">
        <f t="shared" si="355"/>
        <v>X</v>
      </c>
      <c r="DU64" s="251" t="str">
        <f t="shared" si="355"/>
        <v>X</v>
      </c>
      <c r="DV64" s="218">
        <f t="shared" si="337"/>
        <v>0</v>
      </c>
      <c r="DW64" s="352">
        <f t="shared" si="363"/>
        <v>1</v>
      </c>
      <c r="DX64" s="354" t="e">
        <f t="shared" si="331"/>
        <v>#NUM!</v>
      </c>
      <c r="DY64" s="354" t="e">
        <f t="shared" si="332"/>
        <v>#NUM!</v>
      </c>
      <c r="DZ64" s="355">
        <f t="shared" si="338"/>
        <v>0</v>
      </c>
      <c r="EA64" s="251">
        <f t="shared" si="339"/>
        <v>0</v>
      </c>
      <c r="EB64" s="218">
        <f t="shared" si="356"/>
        <v>0</v>
      </c>
      <c r="EC64" s="356">
        <f t="shared" si="340"/>
        <v>0</v>
      </c>
      <c r="ED64" s="357" t="e">
        <f t="shared" si="341"/>
        <v>#NUM!</v>
      </c>
      <c r="EE64" s="218">
        <f t="shared" si="357"/>
        <v>0</v>
      </c>
      <c r="EF64" s="218" t="str">
        <f t="shared" si="342"/>
        <v>x</v>
      </c>
      <c r="EG64" s="358">
        <f t="shared" si="343"/>
        <v>0</v>
      </c>
      <c r="EH64" s="358">
        <f t="shared" si="358"/>
        <v>0</v>
      </c>
      <c r="EI64" s="359">
        <f t="shared" si="334"/>
        <v>0</v>
      </c>
      <c r="EJ64" s="360">
        <f t="shared" si="359"/>
        <v>0</v>
      </c>
      <c r="EK64" s="361" t="e">
        <f t="shared" si="344"/>
        <v>#NUM!</v>
      </c>
      <c r="EL64" s="218"/>
      <c r="EM64" s="218"/>
      <c r="EN64" s="218"/>
      <c r="HO64" s="41" t="s">
        <v>932</v>
      </c>
      <c r="HP64" s="78">
        <v>30</v>
      </c>
      <c r="HR64" s="605" t="e">
        <f>HQ51</f>
        <v>#NUM!</v>
      </c>
      <c r="HS64" s="592" t="e">
        <f>EQ51</f>
        <v>#NUM!</v>
      </c>
      <c r="HT64" s="277" t="e">
        <f>IF(HS64&gt;=HR64,1,0)</f>
        <v>#NUM!</v>
      </c>
      <c r="IJ64" s="81"/>
      <c r="IM64" s="280">
        <f t="shared" si="262"/>
        <v>30</v>
      </c>
      <c r="IN64" s="440">
        <f t="shared" si="364"/>
        <v>0</v>
      </c>
      <c r="IO64" s="196" t="str">
        <f t="shared" si="154"/>
        <v xml:space="preserve"> </v>
      </c>
      <c r="IP64" s="342" t="str">
        <f t="shared" si="366"/>
        <v xml:space="preserve"> </v>
      </c>
      <c r="IQ64" s="280">
        <f t="shared" si="156"/>
        <v>0</v>
      </c>
      <c r="IR64" s="196">
        <f t="shared" si="365"/>
        <v>0</v>
      </c>
      <c r="IS64" s="280">
        <f t="shared" si="296"/>
        <v>1</v>
      </c>
      <c r="IT64" s="280">
        <f t="shared" si="297"/>
        <v>0</v>
      </c>
      <c r="IU64" s="280">
        <f t="shared" si="298"/>
        <v>0</v>
      </c>
      <c r="IV64" s="280">
        <f t="shared" si="299"/>
        <v>0</v>
      </c>
      <c r="IW64" s="280">
        <f t="shared" si="300"/>
        <v>0</v>
      </c>
      <c r="IX64" s="280">
        <f t="shared" si="301"/>
        <v>0</v>
      </c>
      <c r="IY64" s="280">
        <f t="shared" si="302"/>
        <v>0</v>
      </c>
      <c r="IZ64" s="280">
        <f t="shared" si="303"/>
        <v>0</v>
      </c>
      <c r="JA64" s="280">
        <f t="shared" si="304"/>
        <v>0</v>
      </c>
      <c r="JB64" s="280">
        <f t="shared" si="305"/>
        <v>0</v>
      </c>
      <c r="JC64" s="280">
        <f t="shared" si="306"/>
        <v>0</v>
      </c>
      <c r="JD64" s="280">
        <f t="shared" si="307"/>
        <v>0</v>
      </c>
      <c r="JE64" s="280">
        <f t="shared" si="308"/>
        <v>0</v>
      </c>
      <c r="JF64" s="280">
        <f t="shared" si="309"/>
        <v>0</v>
      </c>
      <c r="JG64" s="280">
        <f t="shared" si="310"/>
        <v>0</v>
      </c>
      <c r="JH64" s="280">
        <f t="shared" si="311"/>
        <v>0</v>
      </c>
      <c r="JI64" s="280">
        <f t="shared" si="312"/>
        <v>0</v>
      </c>
      <c r="JJ64" s="280">
        <f t="shared" si="313"/>
        <v>0</v>
      </c>
      <c r="JK64" s="280">
        <f t="shared" si="314"/>
        <v>0</v>
      </c>
      <c r="JL64" s="280">
        <f t="shared" si="315"/>
        <v>0</v>
      </c>
      <c r="JM64" s="280">
        <f t="shared" si="316"/>
        <v>0</v>
      </c>
      <c r="JN64" s="280">
        <f t="shared" si="317"/>
        <v>0</v>
      </c>
      <c r="JO64" s="280">
        <f t="shared" si="318"/>
        <v>0</v>
      </c>
      <c r="JP64" s="280">
        <f t="shared" si="319"/>
        <v>0</v>
      </c>
      <c r="JQ64" s="280">
        <f t="shared" si="320"/>
        <v>0</v>
      </c>
      <c r="JR64" s="280">
        <f t="shared" si="321"/>
        <v>0</v>
      </c>
      <c r="JS64" s="44">
        <f t="shared" si="157"/>
        <v>1</v>
      </c>
      <c r="JT64" s="343" t="str">
        <f t="shared" si="158"/>
        <v>F</v>
      </c>
      <c r="JU64" s="44"/>
      <c r="JV64" s="280">
        <f t="shared" si="322"/>
        <v>1</v>
      </c>
      <c r="JW64" s="280">
        <f t="shared" si="323"/>
        <v>0</v>
      </c>
      <c r="JX64" s="280">
        <f t="shared" si="324"/>
        <v>0</v>
      </c>
      <c r="JY64" s="280">
        <f t="shared" si="325"/>
        <v>0</v>
      </c>
      <c r="JZ64" s="280">
        <f t="shared" si="326"/>
        <v>0</v>
      </c>
      <c r="KA64" s="280">
        <f t="shared" si="327"/>
        <v>0</v>
      </c>
      <c r="KB64" s="44">
        <f t="shared" si="160"/>
        <v>1</v>
      </c>
      <c r="KC64" s="343" t="str">
        <f t="shared" si="161"/>
        <v>F</v>
      </c>
      <c r="KE64" s="280"/>
      <c r="KF64" s="280"/>
      <c r="KG64" s="280"/>
      <c r="NY64" s="544"/>
    </row>
    <row r="65" spans="1:389" ht="16.149999999999999" customHeight="1" x14ac:dyDescent="0.25">
      <c r="A65" s="431" t="str">
        <f t="shared" si="367"/>
        <v>Birmingham City</v>
      </c>
      <c r="B65" s="1092">
        <f t="shared" si="368"/>
        <v>0</v>
      </c>
      <c r="C65" s="1092">
        <f t="shared" si="369"/>
        <v>0</v>
      </c>
      <c r="D65" s="1092">
        <f t="shared" si="370"/>
        <v>0</v>
      </c>
      <c r="E65" s="1092">
        <f t="shared" si="371"/>
        <v>0</v>
      </c>
      <c r="F65" s="1092">
        <f t="shared" si="372"/>
        <v>0</v>
      </c>
      <c r="G65" s="280">
        <f t="shared" si="373"/>
        <v>0</v>
      </c>
      <c r="H65" s="280">
        <f t="shared" si="374"/>
        <v>0</v>
      </c>
      <c r="I65" s="280">
        <f t="shared" si="375"/>
        <v>0</v>
      </c>
      <c r="J65" s="280">
        <f t="shared" si="376"/>
        <v>0</v>
      </c>
      <c r="K65" s="280">
        <f t="shared" si="377"/>
        <v>0</v>
      </c>
      <c r="L65" s="381">
        <f t="shared" si="378"/>
        <v>0</v>
      </c>
      <c r="M65" s="381">
        <f t="shared" si="379"/>
        <v>0</v>
      </c>
      <c r="N65" s="381">
        <f t="shared" si="380"/>
        <v>0</v>
      </c>
      <c r="O65" s="381">
        <f t="shared" si="381"/>
        <v>0</v>
      </c>
      <c r="P65" s="381">
        <f t="shared" si="382"/>
        <v>0</v>
      </c>
      <c r="Q65" s="220"/>
      <c r="R65" s="1090">
        <v>14</v>
      </c>
      <c r="S65" s="798"/>
      <c r="T65" s="1531"/>
      <c r="U65" s="431" t="s">
        <v>101</v>
      </c>
      <c r="V65" s="687"/>
      <c r="W65" s="687"/>
      <c r="X65" s="687"/>
      <c r="Y65" s="686">
        <v>9</v>
      </c>
      <c r="Z65" s="1085">
        <v>14</v>
      </c>
      <c r="AA65" s="1477">
        <v>240</v>
      </c>
      <c r="AB65" s="1477"/>
      <c r="AC65" s="684">
        <v>0</v>
      </c>
      <c r="AD65" s="684">
        <v>0</v>
      </c>
      <c r="AE65" s="684">
        <v>0</v>
      </c>
      <c r="AF65" s="684">
        <v>0</v>
      </c>
      <c r="AG65" s="1477" t="s">
        <v>18</v>
      </c>
      <c r="AH65" s="1477"/>
      <c r="AI65" s="1467" t="str">
        <f t="shared" si="383"/>
        <v xml:space="preserve"> </v>
      </c>
      <c r="AJ65" s="1468"/>
      <c r="AK65" s="707" t="str">
        <f t="shared" si="384"/>
        <v xml:space="preserve"> </v>
      </c>
      <c r="AL65" s="801"/>
      <c r="AM65" s="801"/>
      <c r="AN65" s="801"/>
      <c r="AO65" s="1096"/>
      <c r="AP65" s="776"/>
      <c r="AQ65" s="706"/>
      <c r="AR65" s="706"/>
      <c r="AS65" s="706"/>
      <c r="AT65" s="706"/>
      <c r="AU65" s="706"/>
      <c r="AV65" s="794"/>
      <c r="AW65" s="655"/>
      <c r="AX65" s="78">
        <f t="shared" si="385"/>
        <v>0</v>
      </c>
      <c r="AY65" s="78">
        <f t="shared" si="386"/>
        <v>0</v>
      </c>
      <c r="AZ65" s="78">
        <f t="shared" si="387"/>
        <v>0</v>
      </c>
      <c r="BA65" s="78">
        <f t="shared" si="388"/>
        <v>0</v>
      </c>
      <c r="BB65" s="78">
        <f t="shared" si="389"/>
        <v>0</v>
      </c>
      <c r="BC65" s="78">
        <f t="shared" si="390"/>
        <v>0</v>
      </c>
      <c r="BD65" s="78">
        <f t="shared" si="391"/>
        <v>0</v>
      </c>
      <c r="BE65" s="78">
        <f t="shared" si="392"/>
        <v>0</v>
      </c>
      <c r="BF65" s="78">
        <f t="shared" si="393"/>
        <v>0</v>
      </c>
      <c r="BG65" s="78">
        <f t="shared" si="394"/>
        <v>0</v>
      </c>
      <c r="BH65" s="78">
        <f t="shared" si="395"/>
        <v>0</v>
      </c>
      <c r="BI65" s="78">
        <f t="shared" si="396"/>
        <v>0</v>
      </c>
      <c r="BJ65" s="78">
        <f t="shared" si="397"/>
        <v>0</v>
      </c>
      <c r="BK65" s="78">
        <f t="shared" si="398"/>
        <v>0</v>
      </c>
      <c r="BM65" s="277"/>
      <c r="BN65" s="431" t="s">
        <v>101</v>
      </c>
      <c r="BO65" s="277"/>
      <c r="BP65" s="701" t="str">
        <f t="shared" si="351"/>
        <v xml:space="preserve"> </v>
      </c>
      <c r="BQ65" s="693">
        <f>'DEGREE MARK SIMULATOR'!CW65</f>
        <v>0</v>
      </c>
      <c r="BR65" s="367">
        <f t="shared" si="361"/>
        <v>0</v>
      </c>
      <c r="BS65" s="81"/>
      <c r="BX65" s="196" t="str">
        <f t="shared" si="352"/>
        <v xml:space="preserve"> </v>
      </c>
      <c r="BY65" s="81" t="str">
        <f t="shared" si="353"/>
        <v xml:space="preserve"> </v>
      </c>
      <c r="BZ65" s="78">
        <f t="shared" si="362"/>
        <v>1</v>
      </c>
      <c r="CA65" s="55" t="s">
        <v>101</v>
      </c>
      <c r="CB65" s="132" t="s">
        <v>103</v>
      </c>
      <c r="CC65" s="138" t="s">
        <v>104</v>
      </c>
      <c r="CD65" s="37">
        <v>240</v>
      </c>
      <c r="CE65" s="35"/>
      <c r="CF65" s="35"/>
      <c r="CG65" s="36"/>
      <c r="CH65" s="36"/>
      <c r="CI65" s="37" t="s">
        <v>18</v>
      </c>
      <c r="CJ65" s="311">
        <v>9</v>
      </c>
      <c r="CK65" s="37">
        <v>13</v>
      </c>
      <c r="CL65" s="41" t="s">
        <v>904</v>
      </c>
      <c r="CM65" s="605">
        <f>CM64</f>
        <v>0</v>
      </c>
      <c r="CN65" s="41" t="s">
        <v>903</v>
      </c>
      <c r="CO65" s="604">
        <f>CO64</f>
        <v>0</v>
      </c>
      <c r="CR65" s="78">
        <f>CM65*0.6</f>
        <v>0</v>
      </c>
      <c r="CS65" s="78">
        <f>CO65*0.4</f>
        <v>0</v>
      </c>
      <c r="CT65" s="78" t="str">
        <f t="shared" si="399"/>
        <v>40 - 60</v>
      </c>
      <c r="CW65" s="613">
        <f t="shared" si="400"/>
        <v>0</v>
      </c>
      <c r="CX65" s="431" t="s">
        <v>101</v>
      </c>
      <c r="DQ65" s="428">
        <v>12</v>
      </c>
      <c r="DR65" s="368">
        <v>1.1100000000000003E-3</v>
      </c>
      <c r="DS65" s="351">
        <f t="shared" si="355"/>
        <v>0</v>
      </c>
      <c r="DT65" s="251" t="str">
        <f t="shared" si="355"/>
        <v>X</v>
      </c>
      <c r="DU65" s="251" t="str">
        <f t="shared" si="355"/>
        <v>X</v>
      </c>
      <c r="DV65" s="218">
        <f t="shared" si="337"/>
        <v>0</v>
      </c>
      <c r="DW65" s="352">
        <f t="shared" si="363"/>
        <v>1</v>
      </c>
      <c r="DX65" s="354" t="e">
        <f t="shared" si="331"/>
        <v>#NUM!</v>
      </c>
      <c r="DY65" s="354" t="e">
        <f t="shared" si="332"/>
        <v>#NUM!</v>
      </c>
      <c r="DZ65" s="355">
        <f t="shared" si="338"/>
        <v>0</v>
      </c>
      <c r="EA65" s="251">
        <f t="shared" si="339"/>
        <v>0</v>
      </c>
      <c r="EB65" s="218">
        <f t="shared" si="356"/>
        <v>0</v>
      </c>
      <c r="EC65" s="356">
        <f t="shared" si="340"/>
        <v>0</v>
      </c>
      <c r="ED65" s="357" t="e">
        <f t="shared" si="341"/>
        <v>#NUM!</v>
      </c>
      <c r="EE65" s="218">
        <f t="shared" si="357"/>
        <v>0</v>
      </c>
      <c r="EF65" s="218" t="str">
        <f t="shared" si="342"/>
        <v>x</v>
      </c>
      <c r="EG65" s="358">
        <f t="shared" si="343"/>
        <v>0</v>
      </c>
      <c r="EH65" s="358">
        <f t="shared" si="358"/>
        <v>0</v>
      </c>
      <c r="EI65" s="359">
        <f t="shared" si="334"/>
        <v>0</v>
      </c>
      <c r="EJ65" s="360">
        <f t="shared" si="359"/>
        <v>0</v>
      </c>
      <c r="EK65" s="361" t="e">
        <f t="shared" si="344"/>
        <v>#NUM!</v>
      </c>
      <c r="EL65" s="218"/>
      <c r="EM65" s="218"/>
      <c r="EN65" s="218"/>
      <c r="HR65" s="78" t="e">
        <f>IF(HR64&gt;=HR63,1,0)</f>
        <v>#NUM!</v>
      </c>
      <c r="HS65" s="78" t="e">
        <f>IF(HS64&gt;=HS63,1,0)</f>
        <v>#NUM!</v>
      </c>
      <c r="HT65" s="78" t="e">
        <f>SUM(HR65:HS65)</f>
        <v>#NUM!</v>
      </c>
      <c r="IJ65" s="81"/>
      <c r="IM65" s="280">
        <f t="shared" si="262"/>
        <v>31</v>
      </c>
      <c r="IN65" s="440">
        <f t="shared" si="364"/>
        <v>0</v>
      </c>
      <c r="IO65" s="196" t="str">
        <f t="shared" si="154"/>
        <v xml:space="preserve"> </v>
      </c>
      <c r="IP65" s="342" t="str">
        <f t="shared" si="366"/>
        <v xml:space="preserve"> </v>
      </c>
      <c r="IQ65" s="280">
        <f t="shared" si="156"/>
        <v>0</v>
      </c>
      <c r="IR65" s="196">
        <f t="shared" si="365"/>
        <v>0</v>
      </c>
      <c r="IS65" s="280">
        <f t="shared" si="296"/>
        <v>1</v>
      </c>
      <c r="IT65" s="280">
        <f t="shared" si="297"/>
        <v>0</v>
      </c>
      <c r="IU65" s="280">
        <f t="shared" si="298"/>
        <v>0</v>
      </c>
      <c r="IV65" s="280">
        <f t="shared" si="299"/>
        <v>0</v>
      </c>
      <c r="IW65" s="280">
        <f t="shared" si="300"/>
        <v>0</v>
      </c>
      <c r="IX65" s="280">
        <f t="shared" si="301"/>
        <v>0</v>
      </c>
      <c r="IY65" s="280">
        <f t="shared" si="302"/>
        <v>0</v>
      </c>
      <c r="IZ65" s="280">
        <f t="shared" si="303"/>
        <v>0</v>
      </c>
      <c r="JA65" s="280">
        <f t="shared" si="304"/>
        <v>0</v>
      </c>
      <c r="JB65" s="280">
        <f t="shared" si="305"/>
        <v>0</v>
      </c>
      <c r="JC65" s="280">
        <f t="shared" si="306"/>
        <v>0</v>
      </c>
      <c r="JD65" s="280">
        <f t="shared" si="307"/>
        <v>0</v>
      </c>
      <c r="JE65" s="280">
        <f t="shared" si="308"/>
        <v>0</v>
      </c>
      <c r="JF65" s="280">
        <f t="shared" si="309"/>
        <v>0</v>
      </c>
      <c r="JG65" s="280">
        <f t="shared" si="310"/>
        <v>0</v>
      </c>
      <c r="JH65" s="280">
        <f t="shared" si="311"/>
        <v>0</v>
      </c>
      <c r="JI65" s="280">
        <f t="shared" si="312"/>
        <v>0</v>
      </c>
      <c r="JJ65" s="280">
        <f t="shared" si="313"/>
        <v>0</v>
      </c>
      <c r="JK65" s="280">
        <f t="shared" si="314"/>
        <v>0</v>
      </c>
      <c r="JL65" s="280">
        <f t="shared" si="315"/>
        <v>0</v>
      </c>
      <c r="JM65" s="280">
        <f t="shared" si="316"/>
        <v>0</v>
      </c>
      <c r="JN65" s="280">
        <f t="shared" si="317"/>
        <v>0</v>
      </c>
      <c r="JO65" s="280">
        <f t="shared" si="318"/>
        <v>0</v>
      </c>
      <c r="JP65" s="280">
        <f t="shared" si="319"/>
        <v>0</v>
      </c>
      <c r="JQ65" s="280">
        <f t="shared" si="320"/>
        <v>0</v>
      </c>
      <c r="JR65" s="280">
        <f t="shared" si="321"/>
        <v>0</v>
      </c>
      <c r="JS65" s="44">
        <f t="shared" si="157"/>
        <v>1</v>
      </c>
      <c r="JT65" s="343" t="str">
        <f t="shared" si="158"/>
        <v>F</v>
      </c>
      <c r="JU65" s="44"/>
      <c r="JV65" s="280">
        <f t="shared" si="322"/>
        <v>1</v>
      </c>
      <c r="JW65" s="280">
        <f t="shared" si="323"/>
        <v>0</v>
      </c>
      <c r="JX65" s="280">
        <f t="shared" si="324"/>
        <v>0</v>
      </c>
      <c r="JY65" s="280">
        <f t="shared" si="325"/>
        <v>0</v>
      </c>
      <c r="JZ65" s="280">
        <f t="shared" si="326"/>
        <v>0</v>
      </c>
      <c r="KA65" s="280">
        <f t="shared" si="327"/>
        <v>0</v>
      </c>
      <c r="KB65" s="44">
        <f t="shared" si="160"/>
        <v>1</v>
      </c>
      <c r="KC65" s="343" t="str">
        <f t="shared" si="161"/>
        <v>F</v>
      </c>
      <c r="KE65" s="280"/>
      <c r="KF65" s="280"/>
      <c r="KG65" s="280"/>
      <c r="NY65" s="544"/>
    </row>
    <row r="66" spans="1:389" ht="16.149999999999999" customHeight="1" x14ac:dyDescent="0.25">
      <c r="A66" s="431" t="str">
        <f t="shared" si="367"/>
        <v>Surrey</v>
      </c>
      <c r="B66" s="1092">
        <f t="shared" si="368"/>
        <v>0</v>
      </c>
      <c r="C66" s="1092">
        <f t="shared" si="369"/>
        <v>0</v>
      </c>
      <c r="D66" s="1092">
        <f t="shared" si="370"/>
        <v>0</v>
      </c>
      <c r="E66" s="1092">
        <f t="shared" si="371"/>
        <v>0</v>
      </c>
      <c r="F66" s="1092">
        <f t="shared" si="372"/>
        <v>0</v>
      </c>
      <c r="G66" s="280">
        <f t="shared" si="373"/>
        <v>0</v>
      </c>
      <c r="H66" s="280">
        <f t="shared" si="374"/>
        <v>0</v>
      </c>
      <c r="I66" s="280">
        <f t="shared" si="375"/>
        <v>0</v>
      </c>
      <c r="J66" s="280">
        <f t="shared" si="376"/>
        <v>0</v>
      </c>
      <c r="K66" s="280">
        <f t="shared" si="377"/>
        <v>0</v>
      </c>
      <c r="L66" s="381">
        <f t="shared" si="378"/>
        <v>0</v>
      </c>
      <c r="M66" s="381">
        <f t="shared" si="379"/>
        <v>0</v>
      </c>
      <c r="N66" s="381">
        <f t="shared" si="380"/>
        <v>0</v>
      </c>
      <c r="O66" s="381">
        <f t="shared" si="381"/>
        <v>0</v>
      </c>
      <c r="P66" s="381">
        <f t="shared" si="382"/>
        <v>0</v>
      </c>
      <c r="Q66" s="220"/>
      <c r="R66" s="1090">
        <v>1</v>
      </c>
      <c r="S66" s="798"/>
      <c r="T66" s="1531"/>
      <c r="U66" s="431" t="s">
        <v>150</v>
      </c>
      <c r="V66" s="687"/>
      <c r="W66" s="687"/>
      <c r="X66" s="687"/>
      <c r="Y66" s="686">
        <v>10</v>
      </c>
      <c r="Z66" s="1085">
        <v>1</v>
      </c>
      <c r="AA66" s="1477">
        <v>240</v>
      </c>
      <c r="AB66" s="1477"/>
      <c r="AC66" s="684">
        <v>0</v>
      </c>
      <c r="AD66" s="684">
        <v>0</v>
      </c>
      <c r="AE66" s="684">
        <v>0</v>
      </c>
      <c r="AF66" s="684">
        <v>0</v>
      </c>
      <c r="AG66" s="1477" t="s">
        <v>19</v>
      </c>
      <c r="AH66" s="1477"/>
      <c r="AI66" s="1467" t="str">
        <f t="shared" si="383"/>
        <v xml:space="preserve"> </v>
      </c>
      <c r="AJ66" s="1468"/>
      <c r="AK66" s="707" t="str">
        <f t="shared" si="384"/>
        <v xml:space="preserve"> </v>
      </c>
      <c r="AL66" s="1483" t="str">
        <f>IN124</f>
        <v xml:space="preserve"> </v>
      </c>
      <c r="AM66" s="1484"/>
      <c r="AN66" s="1484"/>
      <c r="AO66" s="1096"/>
      <c r="AP66" s="776"/>
      <c r="AQ66" s="706"/>
      <c r="AR66" s="706"/>
      <c r="AS66" s="706"/>
      <c r="AT66" s="706"/>
      <c r="AU66" s="706"/>
      <c r="AV66" s="794"/>
      <c r="AW66" s="655"/>
      <c r="AX66" s="78">
        <f t="shared" si="385"/>
        <v>0</v>
      </c>
      <c r="AY66" s="78">
        <f t="shared" si="386"/>
        <v>0</v>
      </c>
      <c r="AZ66" s="78">
        <f t="shared" si="387"/>
        <v>0</v>
      </c>
      <c r="BA66" s="78">
        <f t="shared" si="388"/>
        <v>0</v>
      </c>
      <c r="BB66" s="78">
        <f t="shared" si="389"/>
        <v>0</v>
      </c>
      <c r="BC66" s="78">
        <f t="shared" si="390"/>
        <v>0</v>
      </c>
      <c r="BD66" s="78">
        <f t="shared" si="391"/>
        <v>0</v>
      </c>
      <c r="BE66" s="78">
        <f t="shared" si="392"/>
        <v>0</v>
      </c>
      <c r="BF66" s="78">
        <f t="shared" si="393"/>
        <v>0</v>
      </c>
      <c r="BG66" s="78">
        <f t="shared" si="394"/>
        <v>0</v>
      </c>
      <c r="BH66" s="78">
        <f t="shared" si="395"/>
        <v>0</v>
      </c>
      <c r="BI66" s="78">
        <f t="shared" si="396"/>
        <v>0</v>
      </c>
      <c r="BJ66" s="78">
        <f t="shared" si="397"/>
        <v>0</v>
      </c>
      <c r="BK66" s="78">
        <f t="shared" si="398"/>
        <v>0</v>
      </c>
      <c r="BM66" s="277"/>
      <c r="BN66" s="431" t="s">
        <v>150</v>
      </c>
      <c r="BO66" s="277"/>
      <c r="BP66" s="701" t="str">
        <f t="shared" si="351"/>
        <v xml:space="preserve"> </v>
      </c>
      <c r="BQ66" s="693">
        <f>'DEGREE MARK SIMULATOR'!CW66</f>
        <v>0</v>
      </c>
      <c r="BR66" s="367">
        <f t="shared" si="361"/>
        <v>0</v>
      </c>
      <c r="BS66" s="81"/>
      <c r="BT66" s="81"/>
      <c r="BU66" s="282"/>
      <c r="BX66" s="196" t="str">
        <f t="shared" si="352"/>
        <v xml:space="preserve"> </v>
      </c>
      <c r="BY66" s="81" t="str">
        <f t="shared" si="353"/>
        <v xml:space="preserve"> </v>
      </c>
      <c r="BZ66" s="78">
        <f t="shared" si="362"/>
        <v>1</v>
      </c>
      <c r="CA66" s="55" t="s">
        <v>150</v>
      </c>
      <c r="CB66" s="132" t="s">
        <v>629</v>
      </c>
      <c r="CC66" s="138" t="s">
        <v>152</v>
      </c>
      <c r="CD66" s="37">
        <v>240</v>
      </c>
      <c r="CE66" s="35"/>
      <c r="CF66" s="35"/>
      <c r="CG66" s="36"/>
      <c r="CH66" s="36"/>
      <c r="CI66" s="37" t="s">
        <v>19</v>
      </c>
      <c r="CJ66" s="311">
        <v>10</v>
      </c>
      <c r="CK66" s="37">
        <v>14</v>
      </c>
      <c r="CL66" s="41" t="s">
        <v>904</v>
      </c>
      <c r="CM66" s="605">
        <f t="shared" ref="CM66:CM71" si="401">CM65</f>
        <v>0</v>
      </c>
      <c r="CN66" s="41" t="s">
        <v>903</v>
      </c>
      <c r="CO66" s="604">
        <f t="shared" ref="CO66:CO71" si="402">CO65</f>
        <v>0</v>
      </c>
      <c r="CR66" s="78">
        <f>CM66*0.65</f>
        <v>0</v>
      </c>
      <c r="CS66" s="78">
        <f>CO66*0.35</f>
        <v>0</v>
      </c>
      <c r="CT66" s="78" t="str">
        <f t="shared" si="399"/>
        <v>35 - 65</v>
      </c>
      <c r="CW66" s="613">
        <f t="shared" si="400"/>
        <v>0</v>
      </c>
      <c r="CX66" s="431" t="s">
        <v>150</v>
      </c>
      <c r="DQ66" s="428">
        <v>13</v>
      </c>
      <c r="DR66" s="368">
        <v>1.2100000000000004E-3</v>
      </c>
      <c r="DS66" s="364">
        <f>IJ36</f>
        <v>0</v>
      </c>
      <c r="DT66" s="251" t="str">
        <f>IF(DS66=1,(II36+DR66),"X")</f>
        <v>X</v>
      </c>
      <c r="DU66" s="251" t="str">
        <f>IF(DS66=1,IH36,"X")</f>
        <v>X</v>
      </c>
      <c r="DV66" s="218">
        <f t="shared" si="337"/>
        <v>0</v>
      </c>
      <c r="DW66" s="352">
        <f>DW65+DS66</f>
        <v>1</v>
      </c>
      <c r="DX66" s="354" t="e">
        <f t="shared" si="331"/>
        <v>#NUM!</v>
      </c>
      <c r="DY66" s="354" t="e">
        <f t="shared" si="332"/>
        <v>#NUM!</v>
      </c>
      <c r="DZ66" s="355">
        <f t="shared" si="338"/>
        <v>0</v>
      </c>
      <c r="EA66" s="251">
        <f t="shared" si="339"/>
        <v>0</v>
      </c>
      <c r="EB66" s="218">
        <f t="shared" si="356"/>
        <v>0</v>
      </c>
      <c r="EC66" s="356">
        <f t="shared" si="340"/>
        <v>0</v>
      </c>
      <c r="ED66" s="258" t="e">
        <f t="shared" si="341"/>
        <v>#NUM!</v>
      </c>
      <c r="EE66" s="218">
        <f t="shared" si="357"/>
        <v>0</v>
      </c>
      <c r="EF66" s="218" t="str">
        <f t="shared" si="342"/>
        <v>x</v>
      </c>
      <c r="EG66" s="358">
        <f t="shared" si="343"/>
        <v>0</v>
      </c>
      <c r="EH66" s="358">
        <f t="shared" si="358"/>
        <v>0</v>
      </c>
      <c r="EI66" s="359">
        <f t="shared" si="334"/>
        <v>0</v>
      </c>
      <c r="EJ66" s="360">
        <f t="shared" si="359"/>
        <v>0</v>
      </c>
      <c r="EK66" s="361" t="e">
        <f t="shared" si="344"/>
        <v>#NUM!</v>
      </c>
      <c r="EL66" s="438"/>
      <c r="EM66" s="538" t="s">
        <v>938</v>
      </c>
      <c r="EN66" s="218"/>
      <c r="HT66" s="642" t="e">
        <f>SUM(HT63:HT65)</f>
        <v>#NUM!</v>
      </c>
      <c r="IJ66" s="81"/>
      <c r="IM66" s="280">
        <f t="shared" si="262"/>
        <v>32</v>
      </c>
      <c r="IN66" s="440">
        <f t="shared" si="364"/>
        <v>0</v>
      </c>
      <c r="IO66" s="196" t="str">
        <f t="shared" si="154"/>
        <v xml:space="preserve"> </v>
      </c>
      <c r="IP66" s="342" t="str">
        <f t="shared" si="366"/>
        <v xml:space="preserve"> </v>
      </c>
      <c r="IQ66" s="280">
        <f t="shared" si="156"/>
        <v>0</v>
      </c>
      <c r="IR66" s="196">
        <f t="shared" si="365"/>
        <v>0</v>
      </c>
      <c r="IS66" s="280">
        <f t="shared" si="296"/>
        <v>1</v>
      </c>
      <c r="IT66" s="280">
        <f t="shared" si="297"/>
        <v>0</v>
      </c>
      <c r="IU66" s="280">
        <f t="shared" si="298"/>
        <v>0</v>
      </c>
      <c r="IV66" s="280">
        <f t="shared" si="299"/>
        <v>0</v>
      </c>
      <c r="IW66" s="280">
        <f t="shared" si="300"/>
        <v>0</v>
      </c>
      <c r="IX66" s="280">
        <f t="shared" si="301"/>
        <v>0</v>
      </c>
      <c r="IY66" s="280">
        <f t="shared" si="302"/>
        <v>0</v>
      </c>
      <c r="IZ66" s="280">
        <f t="shared" si="303"/>
        <v>0</v>
      </c>
      <c r="JA66" s="280">
        <f t="shared" si="304"/>
        <v>0</v>
      </c>
      <c r="JB66" s="280">
        <f t="shared" si="305"/>
        <v>0</v>
      </c>
      <c r="JC66" s="280">
        <f t="shared" si="306"/>
        <v>0</v>
      </c>
      <c r="JD66" s="280">
        <f t="shared" si="307"/>
        <v>0</v>
      </c>
      <c r="JE66" s="280">
        <f t="shared" si="308"/>
        <v>0</v>
      </c>
      <c r="JF66" s="280">
        <f t="shared" si="309"/>
        <v>0</v>
      </c>
      <c r="JG66" s="280">
        <f t="shared" si="310"/>
        <v>0</v>
      </c>
      <c r="JH66" s="280">
        <f t="shared" si="311"/>
        <v>0</v>
      </c>
      <c r="JI66" s="280">
        <f t="shared" si="312"/>
        <v>0</v>
      </c>
      <c r="JJ66" s="280">
        <f t="shared" si="313"/>
        <v>0</v>
      </c>
      <c r="JK66" s="280">
        <f t="shared" si="314"/>
        <v>0</v>
      </c>
      <c r="JL66" s="280">
        <f t="shared" si="315"/>
        <v>0</v>
      </c>
      <c r="JM66" s="280">
        <f t="shared" si="316"/>
        <v>0</v>
      </c>
      <c r="JN66" s="280">
        <f t="shared" si="317"/>
        <v>0</v>
      </c>
      <c r="JO66" s="280">
        <f t="shared" si="318"/>
        <v>0</v>
      </c>
      <c r="JP66" s="280">
        <f t="shared" si="319"/>
        <v>0</v>
      </c>
      <c r="JQ66" s="280">
        <f t="shared" si="320"/>
        <v>0</v>
      </c>
      <c r="JR66" s="280">
        <f t="shared" si="321"/>
        <v>0</v>
      </c>
      <c r="JS66" s="44">
        <f t="shared" si="157"/>
        <v>1</v>
      </c>
      <c r="JT66" s="343" t="str">
        <f t="shared" si="158"/>
        <v>F</v>
      </c>
      <c r="JU66" s="44"/>
      <c r="JV66" s="280">
        <f t="shared" si="322"/>
        <v>1</v>
      </c>
      <c r="JW66" s="280">
        <f t="shared" si="323"/>
        <v>0</v>
      </c>
      <c r="JX66" s="280">
        <f t="shared" si="324"/>
        <v>0</v>
      </c>
      <c r="JY66" s="280">
        <f t="shared" si="325"/>
        <v>0</v>
      </c>
      <c r="JZ66" s="280">
        <f t="shared" si="326"/>
        <v>0</v>
      </c>
      <c r="KA66" s="280">
        <f t="shared" si="327"/>
        <v>0</v>
      </c>
      <c r="KB66" s="44">
        <f t="shared" si="160"/>
        <v>1</v>
      </c>
      <c r="KC66" s="343" t="str">
        <f t="shared" si="161"/>
        <v>F</v>
      </c>
      <c r="KE66" s="280"/>
      <c r="KF66" s="280"/>
      <c r="KG66" s="280"/>
      <c r="NY66" s="544"/>
    </row>
    <row r="67" spans="1:389" ht="16.149999999999999" customHeight="1" x14ac:dyDescent="0.25">
      <c r="A67" s="431" t="str">
        <f t="shared" si="367"/>
        <v>Bangor</v>
      </c>
      <c r="B67" s="1092">
        <f t="shared" si="368"/>
        <v>0</v>
      </c>
      <c r="C67" s="1092">
        <f t="shared" si="369"/>
        <v>0</v>
      </c>
      <c r="D67" s="1092">
        <f t="shared" si="370"/>
        <v>0</v>
      </c>
      <c r="E67" s="1092">
        <f t="shared" si="371"/>
        <v>0</v>
      </c>
      <c r="F67" s="1092">
        <f t="shared" si="372"/>
        <v>0</v>
      </c>
      <c r="G67" s="280">
        <f t="shared" si="373"/>
        <v>0</v>
      </c>
      <c r="H67" s="280">
        <f t="shared" si="374"/>
        <v>0</v>
      </c>
      <c r="I67" s="280">
        <f t="shared" si="375"/>
        <v>0</v>
      </c>
      <c r="J67" s="280">
        <f t="shared" si="376"/>
        <v>0</v>
      </c>
      <c r="K67" s="280">
        <f t="shared" si="377"/>
        <v>0</v>
      </c>
      <c r="L67" s="381">
        <f t="shared" si="378"/>
        <v>0</v>
      </c>
      <c r="M67" s="381">
        <f t="shared" si="379"/>
        <v>0</v>
      </c>
      <c r="N67" s="381">
        <f t="shared" si="380"/>
        <v>0</v>
      </c>
      <c r="O67" s="381">
        <f t="shared" si="381"/>
        <v>0</v>
      </c>
      <c r="P67" s="381">
        <f t="shared" si="382"/>
        <v>0</v>
      </c>
      <c r="Q67" s="220"/>
      <c r="R67" s="1090">
        <v>14</v>
      </c>
      <c r="S67" s="798"/>
      <c r="T67" s="1531"/>
      <c r="U67" s="431" t="s">
        <v>153</v>
      </c>
      <c r="V67" s="687"/>
      <c r="W67" s="687"/>
      <c r="X67" s="687"/>
      <c r="Y67" s="686">
        <v>11</v>
      </c>
      <c r="Z67" s="1085">
        <v>14</v>
      </c>
      <c r="AA67" s="1477">
        <v>240</v>
      </c>
      <c r="AB67" s="1477"/>
      <c r="AC67" s="684">
        <v>0</v>
      </c>
      <c r="AD67" s="684">
        <v>0</v>
      </c>
      <c r="AE67" s="684">
        <v>0</v>
      </c>
      <c r="AF67" s="684">
        <v>0</v>
      </c>
      <c r="AG67" s="1477" t="s">
        <v>20</v>
      </c>
      <c r="AH67" s="1477"/>
      <c r="AI67" s="1467" t="str">
        <f t="shared" si="383"/>
        <v xml:space="preserve"> </v>
      </c>
      <c r="AJ67" s="1468"/>
      <c r="AK67" s="707" t="str">
        <f t="shared" si="384"/>
        <v xml:space="preserve"> </v>
      </c>
      <c r="AL67" s="1483" t="str">
        <f>IN125</f>
        <v xml:space="preserve"> </v>
      </c>
      <c r="AM67" s="1484"/>
      <c r="AN67" s="1484"/>
      <c r="AO67" s="1096"/>
      <c r="AP67" s="776"/>
      <c r="AQ67" s="706"/>
      <c r="AR67" s="706"/>
      <c r="AS67" s="706"/>
      <c r="AT67" s="706"/>
      <c r="AU67" s="706"/>
      <c r="AV67" s="794"/>
      <c r="AW67" s="655"/>
      <c r="AX67" s="78">
        <f t="shared" si="385"/>
        <v>0</v>
      </c>
      <c r="AY67" s="78">
        <f t="shared" si="386"/>
        <v>0</v>
      </c>
      <c r="AZ67" s="78">
        <f t="shared" si="387"/>
        <v>0</v>
      </c>
      <c r="BA67" s="78">
        <f t="shared" si="388"/>
        <v>0</v>
      </c>
      <c r="BB67" s="78">
        <f t="shared" si="389"/>
        <v>0</v>
      </c>
      <c r="BC67" s="78">
        <f t="shared" si="390"/>
        <v>0</v>
      </c>
      <c r="BD67" s="78">
        <f t="shared" si="391"/>
        <v>0</v>
      </c>
      <c r="BE67" s="78">
        <f t="shared" si="392"/>
        <v>0</v>
      </c>
      <c r="BF67" s="78">
        <f t="shared" si="393"/>
        <v>0</v>
      </c>
      <c r="BG67" s="78">
        <f t="shared" si="394"/>
        <v>0</v>
      </c>
      <c r="BH67" s="78">
        <f t="shared" si="395"/>
        <v>0</v>
      </c>
      <c r="BI67" s="78">
        <f t="shared" si="396"/>
        <v>0</v>
      </c>
      <c r="BJ67" s="78">
        <f t="shared" si="397"/>
        <v>0</v>
      </c>
      <c r="BK67" s="78">
        <f t="shared" si="398"/>
        <v>0</v>
      </c>
      <c r="BM67" s="277"/>
      <c r="BN67" s="431" t="s">
        <v>153</v>
      </c>
      <c r="BO67" s="277"/>
      <c r="BP67" s="701" t="str">
        <f t="shared" si="351"/>
        <v xml:space="preserve"> </v>
      </c>
      <c r="BQ67" s="693">
        <f>'DEGREE MARK SIMULATOR'!CW67</f>
        <v>0</v>
      </c>
      <c r="BR67" s="367">
        <f t="shared" si="361"/>
        <v>0</v>
      </c>
      <c r="BS67" s="81"/>
      <c r="BT67" s="81"/>
      <c r="BU67" s="282"/>
      <c r="BX67" s="196" t="str">
        <f t="shared" si="352"/>
        <v xml:space="preserve"> </v>
      </c>
      <c r="BY67" s="81" t="str">
        <f t="shared" si="353"/>
        <v xml:space="preserve"> </v>
      </c>
      <c r="BZ67" s="78">
        <f t="shared" si="362"/>
        <v>1</v>
      </c>
      <c r="CA67" s="55" t="s">
        <v>153</v>
      </c>
      <c r="CB67" s="132" t="s">
        <v>630</v>
      </c>
      <c r="CC67" s="138" t="s">
        <v>155</v>
      </c>
      <c r="CD67" s="37">
        <v>240</v>
      </c>
      <c r="CE67" s="35"/>
      <c r="CF67" s="35"/>
      <c r="CG67" s="36"/>
      <c r="CH67" s="36"/>
      <c r="CI67" s="37" t="s">
        <v>20</v>
      </c>
      <c r="CJ67" s="311">
        <v>11</v>
      </c>
      <c r="CK67" s="37">
        <v>15</v>
      </c>
      <c r="CL67" s="41" t="s">
        <v>904</v>
      </c>
      <c r="CM67" s="605">
        <f t="shared" si="401"/>
        <v>0</v>
      </c>
      <c r="CN67" s="41" t="s">
        <v>903</v>
      </c>
      <c r="CO67" s="604">
        <f t="shared" si="402"/>
        <v>0</v>
      </c>
      <c r="CR67" s="78">
        <f>CM67*0.67</f>
        <v>0</v>
      </c>
      <c r="CS67" s="78">
        <f>CO67*0.33</f>
        <v>0</v>
      </c>
      <c r="CT67" s="78" t="str">
        <f t="shared" si="399"/>
        <v>33 - 67</v>
      </c>
      <c r="CW67" s="613">
        <f t="shared" si="400"/>
        <v>0</v>
      </c>
      <c r="CX67" s="431" t="s">
        <v>153</v>
      </c>
      <c r="DQ67" s="428">
        <v>14</v>
      </c>
      <c r="DR67" s="368">
        <v>1.3100000000000004E-3</v>
      </c>
      <c r="DS67" s="364">
        <f>IJ37</f>
        <v>0</v>
      </c>
      <c r="DT67" s="251" t="str">
        <f>IF(DS67=1,(II37+DR67),"X")</f>
        <v>X</v>
      </c>
      <c r="DU67" s="251" t="str">
        <f>IF(DS67=1,IH37,"X")</f>
        <v>X</v>
      </c>
      <c r="DV67" s="218">
        <f t="shared" si="337"/>
        <v>0</v>
      </c>
      <c r="DW67" s="352">
        <f>DW66+DS67</f>
        <v>1</v>
      </c>
      <c r="DX67" s="354" t="e">
        <f t="shared" si="331"/>
        <v>#NUM!</v>
      </c>
      <c r="DY67" s="354" t="e">
        <f t="shared" si="332"/>
        <v>#NUM!</v>
      </c>
      <c r="DZ67" s="355">
        <f t="shared" si="338"/>
        <v>0</v>
      </c>
      <c r="EA67" s="251">
        <f t="shared" si="339"/>
        <v>0</v>
      </c>
      <c r="EB67" s="218">
        <f t="shared" si="356"/>
        <v>0</v>
      </c>
      <c r="EC67" s="356">
        <f t="shared" si="340"/>
        <v>0</v>
      </c>
      <c r="ED67" s="357" t="e">
        <f t="shared" si="341"/>
        <v>#NUM!</v>
      </c>
      <c r="EE67" s="218">
        <f t="shared" si="357"/>
        <v>0</v>
      </c>
      <c r="EF67" s="218" t="str">
        <f t="shared" si="342"/>
        <v>x</v>
      </c>
      <c r="EG67" s="358">
        <f t="shared" si="343"/>
        <v>0</v>
      </c>
      <c r="EH67" s="358">
        <f t="shared" si="358"/>
        <v>0</v>
      </c>
      <c r="EI67" s="359">
        <f t="shared" si="334"/>
        <v>0</v>
      </c>
      <c r="EJ67" s="360">
        <f t="shared" si="359"/>
        <v>0</v>
      </c>
      <c r="EK67" s="361" t="e">
        <f t="shared" si="344"/>
        <v>#NUM!</v>
      </c>
      <c r="EL67" s="218"/>
      <c r="EM67" s="218"/>
      <c r="EN67" s="218"/>
      <c r="HO67" s="41"/>
      <c r="HP67" s="41"/>
      <c r="IJ67" s="81"/>
      <c r="IM67" s="280">
        <f t="shared" si="262"/>
        <v>33</v>
      </c>
      <c r="IN67" s="440">
        <f t="shared" si="364"/>
        <v>0</v>
      </c>
      <c r="IO67" s="196" t="str">
        <f t="shared" si="154"/>
        <v xml:space="preserve"> </v>
      </c>
      <c r="IP67" s="342" t="str">
        <f t="shared" si="366"/>
        <v xml:space="preserve"> </v>
      </c>
      <c r="IQ67" s="280">
        <f t="shared" si="156"/>
        <v>0</v>
      </c>
      <c r="IR67" s="196">
        <f t="shared" si="365"/>
        <v>0</v>
      </c>
      <c r="IS67" s="280">
        <f t="shared" si="296"/>
        <v>1</v>
      </c>
      <c r="IT67" s="280">
        <f t="shared" si="297"/>
        <v>0</v>
      </c>
      <c r="IU67" s="280">
        <f t="shared" si="298"/>
        <v>0</v>
      </c>
      <c r="IV67" s="280">
        <f t="shared" si="299"/>
        <v>0</v>
      </c>
      <c r="IW67" s="280">
        <f t="shared" si="300"/>
        <v>0</v>
      </c>
      <c r="IX67" s="280">
        <f t="shared" si="301"/>
        <v>0</v>
      </c>
      <c r="IY67" s="280">
        <f t="shared" si="302"/>
        <v>0</v>
      </c>
      <c r="IZ67" s="280">
        <f t="shared" si="303"/>
        <v>0</v>
      </c>
      <c r="JA67" s="280">
        <f t="shared" si="304"/>
        <v>0</v>
      </c>
      <c r="JB67" s="280">
        <f t="shared" si="305"/>
        <v>0</v>
      </c>
      <c r="JC67" s="280">
        <f t="shared" si="306"/>
        <v>0</v>
      </c>
      <c r="JD67" s="280">
        <f t="shared" si="307"/>
        <v>0</v>
      </c>
      <c r="JE67" s="280">
        <f t="shared" si="308"/>
        <v>0</v>
      </c>
      <c r="JF67" s="280">
        <f t="shared" si="309"/>
        <v>0</v>
      </c>
      <c r="JG67" s="280">
        <f t="shared" si="310"/>
        <v>0</v>
      </c>
      <c r="JH67" s="280">
        <f t="shared" si="311"/>
        <v>0</v>
      </c>
      <c r="JI67" s="280">
        <f t="shared" si="312"/>
        <v>0</v>
      </c>
      <c r="JJ67" s="280">
        <f t="shared" si="313"/>
        <v>0</v>
      </c>
      <c r="JK67" s="280">
        <f t="shared" si="314"/>
        <v>0</v>
      </c>
      <c r="JL67" s="280">
        <f t="shared" si="315"/>
        <v>0</v>
      </c>
      <c r="JM67" s="280">
        <f t="shared" si="316"/>
        <v>0</v>
      </c>
      <c r="JN67" s="280">
        <f t="shared" si="317"/>
        <v>0</v>
      </c>
      <c r="JO67" s="280">
        <f t="shared" si="318"/>
        <v>0</v>
      </c>
      <c r="JP67" s="280">
        <f t="shared" si="319"/>
        <v>0</v>
      </c>
      <c r="JQ67" s="280">
        <f t="shared" si="320"/>
        <v>0</v>
      </c>
      <c r="JR67" s="280">
        <f t="shared" si="321"/>
        <v>0</v>
      </c>
      <c r="JS67" s="44">
        <f t="shared" si="157"/>
        <v>1</v>
      </c>
      <c r="JT67" s="343" t="str">
        <f t="shared" si="158"/>
        <v>F</v>
      </c>
      <c r="JU67" s="44"/>
      <c r="JV67" s="280">
        <f t="shared" si="322"/>
        <v>1</v>
      </c>
      <c r="JW67" s="280">
        <f t="shared" si="323"/>
        <v>0</v>
      </c>
      <c r="JX67" s="280">
        <f t="shared" si="324"/>
        <v>0</v>
      </c>
      <c r="JY67" s="280">
        <f t="shared" si="325"/>
        <v>0</v>
      </c>
      <c r="JZ67" s="280">
        <f t="shared" si="326"/>
        <v>0</v>
      </c>
      <c r="KA67" s="280">
        <f t="shared" si="327"/>
        <v>0</v>
      </c>
      <c r="KB67" s="44">
        <f t="shared" si="160"/>
        <v>1</v>
      </c>
      <c r="KC67" s="343" t="str">
        <f t="shared" si="161"/>
        <v>F</v>
      </c>
      <c r="KE67" s="280"/>
      <c r="KF67" s="280"/>
      <c r="KG67" s="280"/>
      <c r="NY67" s="544"/>
    </row>
    <row r="68" spans="1:389" ht="16.149999999999999" customHeight="1" x14ac:dyDescent="0.25">
      <c r="A68" s="431" t="str">
        <f t="shared" si="367"/>
        <v>Bath</v>
      </c>
      <c r="B68" s="1092">
        <f t="shared" si="368"/>
        <v>0</v>
      </c>
      <c r="C68" s="1092">
        <f t="shared" si="369"/>
        <v>0</v>
      </c>
      <c r="D68" s="1092">
        <f t="shared" si="370"/>
        <v>0</v>
      </c>
      <c r="E68" s="1092">
        <f t="shared" si="371"/>
        <v>0</v>
      </c>
      <c r="F68" s="1092">
        <f t="shared" si="372"/>
        <v>0</v>
      </c>
      <c r="G68" s="280">
        <f t="shared" si="373"/>
        <v>0</v>
      </c>
      <c r="H68" s="280">
        <f t="shared" si="374"/>
        <v>0</v>
      </c>
      <c r="I68" s="280">
        <f t="shared" si="375"/>
        <v>0</v>
      </c>
      <c r="J68" s="280">
        <f t="shared" si="376"/>
        <v>0</v>
      </c>
      <c r="K68" s="280">
        <f t="shared" si="377"/>
        <v>0</v>
      </c>
      <c r="L68" s="381">
        <f t="shared" si="378"/>
        <v>0</v>
      </c>
      <c r="M68" s="381">
        <f t="shared" si="379"/>
        <v>0</v>
      </c>
      <c r="N68" s="381">
        <f t="shared" si="380"/>
        <v>0</v>
      </c>
      <c r="O68" s="381">
        <f t="shared" si="381"/>
        <v>0</v>
      </c>
      <c r="P68" s="381">
        <f t="shared" si="382"/>
        <v>0</v>
      </c>
      <c r="Q68" s="220"/>
      <c r="R68" s="1090">
        <v>1</v>
      </c>
      <c r="S68" s="798"/>
      <c r="T68" s="1531"/>
      <c r="U68" s="431" t="s">
        <v>197</v>
      </c>
      <c r="V68" s="687"/>
      <c r="W68" s="687"/>
      <c r="X68" s="687"/>
      <c r="Y68" s="686">
        <v>12</v>
      </c>
      <c r="Z68" s="1085">
        <v>1</v>
      </c>
      <c r="AA68" s="1477">
        <v>240</v>
      </c>
      <c r="AB68" s="1477"/>
      <c r="AC68" s="684">
        <v>0</v>
      </c>
      <c r="AD68" s="684">
        <v>0</v>
      </c>
      <c r="AE68" s="684">
        <v>0</v>
      </c>
      <c r="AF68" s="684">
        <v>0</v>
      </c>
      <c r="AG68" s="1477" t="s">
        <v>21</v>
      </c>
      <c r="AH68" s="1477"/>
      <c r="AI68" s="1467" t="str">
        <f t="shared" si="383"/>
        <v xml:space="preserve"> </v>
      </c>
      <c r="AJ68" s="1468"/>
      <c r="AK68" s="707" t="str">
        <f t="shared" si="384"/>
        <v xml:space="preserve"> </v>
      </c>
      <c r="AL68" s="706"/>
      <c r="AM68" s="786" t="str">
        <f t="shared" ref="AM68:AN72" si="403">IN126</f>
        <v xml:space="preserve"> </v>
      </c>
      <c r="AN68" s="785" t="str">
        <f t="shared" si="403"/>
        <v xml:space="preserve"> </v>
      </c>
      <c r="AO68" s="1096"/>
      <c r="AP68" s="776"/>
      <c r="AQ68" s="706"/>
      <c r="AR68" s="706"/>
      <c r="AS68" s="706"/>
      <c r="AT68" s="706"/>
      <c r="AU68" s="706"/>
      <c r="AV68" s="794"/>
      <c r="AW68" s="655"/>
      <c r="AX68" s="78">
        <f t="shared" si="385"/>
        <v>0</v>
      </c>
      <c r="AY68" s="78">
        <f t="shared" si="386"/>
        <v>0</v>
      </c>
      <c r="AZ68" s="78">
        <f t="shared" si="387"/>
        <v>0</v>
      </c>
      <c r="BA68" s="78">
        <f t="shared" si="388"/>
        <v>0</v>
      </c>
      <c r="BB68" s="78">
        <f t="shared" si="389"/>
        <v>0</v>
      </c>
      <c r="BC68" s="78">
        <f t="shared" si="390"/>
        <v>0</v>
      </c>
      <c r="BD68" s="78">
        <f t="shared" si="391"/>
        <v>0</v>
      </c>
      <c r="BE68" s="78">
        <f t="shared" si="392"/>
        <v>0</v>
      </c>
      <c r="BF68" s="78">
        <f t="shared" si="393"/>
        <v>0</v>
      </c>
      <c r="BG68" s="78">
        <f t="shared" si="394"/>
        <v>0</v>
      </c>
      <c r="BH68" s="78">
        <f t="shared" si="395"/>
        <v>0</v>
      </c>
      <c r="BI68" s="78">
        <f t="shared" si="396"/>
        <v>0</v>
      </c>
      <c r="BJ68" s="78">
        <f t="shared" si="397"/>
        <v>0</v>
      </c>
      <c r="BK68" s="78">
        <f t="shared" si="398"/>
        <v>0</v>
      </c>
      <c r="BM68" s="277"/>
      <c r="BN68" s="431" t="s">
        <v>197</v>
      </c>
      <c r="BO68" s="277"/>
      <c r="BP68" s="701" t="str">
        <f t="shared" si="351"/>
        <v xml:space="preserve"> </v>
      </c>
      <c r="BQ68" s="693">
        <f>'DEGREE MARK SIMULATOR'!CW68</f>
        <v>0</v>
      </c>
      <c r="BR68" s="367">
        <f t="shared" si="361"/>
        <v>0</v>
      </c>
      <c r="BS68" s="81"/>
      <c r="BT68" s="81"/>
      <c r="BU68" s="282"/>
      <c r="BX68" s="196" t="str">
        <f t="shared" si="352"/>
        <v xml:space="preserve"> </v>
      </c>
      <c r="BY68" s="81" t="str">
        <f t="shared" si="353"/>
        <v xml:space="preserve"> </v>
      </c>
      <c r="BZ68" s="78">
        <f t="shared" si="362"/>
        <v>1</v>
      </c>
      <c r="CA68" s="55" t="s">
        <v>197</v>
      </c>
      <c r="CB68" s="132" t="s">
        <v>643</v>
      </c>
      <c r="CC68" s="144" t="s">
        <v>199</v>
      </c>
      <c r="CD68" s="37">
        <v>240</v>
      </c>
      <c r="CE68" s="35"/>
      <c r="CF68" s="35"/>
      <c r="CG68" s="36"/>
      <c r="CH68" s="36"/>
      <c r="CI68" s="37" t="s">
        <v>21</v>
      </c>
      <c r="CJ68" s="311">
        <v>12</v>
      </c>
      <c r="CK68" s="37">
        <v>16</v>
      </c>
      <c r="CL68" s="41" t="s">
        <v>904</v>
      </c>
      <c r="CM68" s="605">
        <f t="shared" si="401"/>
        <v>0</v>
      </c>
      <c r="CN68" s="41" t="s">
        <v>903</v>
      </c>
      <c r="CO68" s="604">
        <f t="shared" si="402"/>
        <v>0</v>
      </c>
      <c r="CR68" s="78">
        <f>CM68*0.68</f>
        <v>0</v>
      </c>
      <c r="CS68" s="78">
        <f>CO68*0.32</f>
        <v>0</v>
      </c>
      <c r="CT68" s="78" t="str">
        <f t="shared" si="399"/>
        <v>32 - 68</v>
      </c>
      <c r="CW68" s="613">
        <f t="shared" si="400"/>
        <v>0</v>
      </c>
      <c r="CX68" s="431" t="s">
        <v>197</v>
      </c>
      <c r="DQ68" s="428">
        <v>15</v>
      </c>
      <c r="DR68" s="368">
        <v>1.4100000000000004E-3</v>
      </c>
      <c r="DS68" s="364">
        <f>IJ38</f>
        <v>0</v>
      </c>
      <c r="DT68" s="251" t="str">
        <f>IF(DS68=1,(II38+DR68),"X")</f>
        <v>X</v>
      </c>
      <c r="DU68" s="251" t="str">
        <f>IF(DS68=1,IH38,"X")</f>
        <v>X</v>
      </c>
      <c r="DV68" s="218">
        <f t="shared" si="337"/>
        <v>0</v>
      </c>
      <c r="DW68" s="352">
        <f>DW67+DS68</f>
        <v>1</v>
      </c>
      <c r="DX68" s="354" t="e">
        <f t="shared" si="331"/>
        <v>#NUM!</v>
      </c>
      <c r="DY68" s="354" t="e">
        <f t="shared" si="332"/>
        <v>#NUM!</v>
      </c>
      <c r="DZ68" s="355">
        <f t="shared" si="338"/>
        <v>0</v>
      </c>
      <c r="EA68" s="251">
        <f t="shared" si="339"/>
        <v>0</v>
      </c>
      <c r="EB68" s="218">
        <f t="shared" si="356"/>
        <v>0</v>
      </c>
      <c r="EC68" s="356">
        <f t="shared" si="340"/>
        <v>0</v>
      </c>
      <c r="ED68" s="357" t="e">
        <f t="shared" si="341"/>
        <v>#NUM!</v>
      </c>
      <c r="EE68" s="218">
        <f t="shared" si="357"/>
        <v>0</v>
      </c>
      <c r="EF68" s="218" t="str">
        <f t="shared" si="342"/>
        <v>x</v>
      </c>
      <c r="EG68" s="358">
        <f t="shared" si="343"/>
        <v>0</v>
      </c>
      <c r="EH68" s="358">
        <f t="shared" si="358"/>
        <v>0</v>
      </c>
      <c r="EI68" s="359">
        <f t="shared" si="334"/>
        <v>0</v>
      </c>
      <c r="EJ68" s="360">
        <f t="shared" si="359"/>
        <v>0</v>
      </c>
      <c r="EK68" s="361" t="e">
        <f t="shared" si="344"/>
        <v>#NUM!</v>
      </c>
      <c r="EL68" s="218"/>
      <c r="EM68" s="218"/>
      <c r="EN68" s="218"/>
      <c r="HR68" s="8" t="s">
        <v>904</v>
      </c>
      <c r="HS68" s="8" t="s">
        <v>903</v>
      </c>
      <c r="IJ68" s="81"/>
      <c r="IM68" s="280">
        <f t="shared" si="262"/>
        <v>34</v>
      </c>
      <c r="IN68" s="440">
        <f t="shared" si="364"/>
        <v>0</v>
      </c>
      <c r="IO68" s="196" t="str">
        <f>IF(IN68=1,JT68," ")</f>
        <v xml:space="preserve"> </v>
      </c>
      <c r="IP68" s="342" t="str">
        <f t="shared" si="366"/>
        <v xml:space="preserve"> </v>
      </c>
      <c r="IQ68" s="280">
        <f t="shared" si="156"/>
        <v>0</v>
      </c>
      <c r="IR68" s="196">
        <f t="shared" si="365"/>
        <v>0</v>
      </c>
      <c r="IS68" s="280">
        <f t="shared" si="296"/>
        <v>1</v>
      </c>
      <c r="IT68" s="280">
        <f t="shared" si="297"/>
        <v>0</v>
      </c>
      <c r="IU68" s="280">
        <f t="shared" si="298"/>
        <v>0</v>
      </c>
      <c r="IV68" s="280">
        <f t="shared" si="299"/>
        <v>0</v>
      </c>
      <c r="IW68" s="280">
        <f t="shared" si="300"/>
        <v>0</v>
      </c>
      <c r="IX68" s="280">
        <f t="shared" si="301"/>
        <v>0</v>
      </c>
      <c r="IY68" s="280">
        <f t="shared" si="302"/>
        <v>0</v>
      </c>
      <c r="IZ68" s="280">
        <f t="shared" si="303"/>
        <v>0</v>
      </c>
      <c r="JA68" s="280">
        <f t="shared" si="304"/>
        <v>0</v>
      </c>
      <c r="JB68" s="280">
        <f t="shared" si="305"/>
        <v>0</v>
      </c>
      <c r="JC68" s="280">
        <f t="shared" si="306"/>
        <v>0</v>
      </c>
      <c r="JD68" s="280">
        <f t="shared" si="307"/>
        <v>0</v>
      </c>
      <c r="JE68" s="280">
        <f t="shared" si="308"/>
        <v>0</v>
      </c>
      <c r="JF68" s="280">
        <f t="shared" si="309"/>
        <v>0</v>
      </c>
      <c r="JG68" s="280">
        <f t="shared" si="310"/>
        <v>0</v>
      </c>
      <c r="JH68" s="280">
        <f t="shared" si="311"/>
        <v>0</v>
      </c>
      <c r="JI68" s="280">
        <f t="shared" si="312"/>
        <v>0</v>
      </c>
      <c r="JJ68" s="280">
        <f t="shared" si="313"/>
        <v>0</v>
      </c>
      <c r="JK68" s="280">
        <f t="shared" si="314"/>
        <v>0</v>
      </c>
      <c r="JL68" s="280">
        <f t="shared" si="315"/>
        <v>0</v>
      </c>
      <c r="JM68" s="280">
        <f t="shared" si="316"/>
        <v>0</v>
      </c>
      <c r="JN68" s="280">
        <f t="shared" si="317"/>
        <v>0</v>
      </c>
      <c r="JO68" s="280">
        <f t="shared" si="318"/>
        <v>0</v>
      </c>
      <c r="JP68" s="280">
        <f t="shared" si="319"/>
        <v>0</v>
      </c>
      <c r="JQ68" s="280">
        <f t="shared" si="320"/>
        <v>0</v>
      </c>
      <c r="JR68" s="280">
        <f t="shared" si="321"/>
        <v>0</v>
      </c>
      <c r="JS68" s="44">
        <f t="shared" si="157"/>
        <v>1</v>
      </c>
      <c r="JT68" s="343" t="str">
        <f t="shared" si="158"/>
        <v>F</v>
      </c>
      <c r="JU68" s="44"/>
      <c r="JV68" s="280">
        <f t="shared" si="322"/>
        <v>1</v>
      </c>
      <c r="JW68" s="280">
        <f t="shared" si="323"/>
        <v>0</v>
      </c>
      <c r="JX68" s="280">
        <f t="shared" si="324"/>
        <v>0</v>
      </c>
      <c r="JY68" s="280">
        <f t="shared" si="325"/>
        <v>0</v>
      </c>
      <c r="JZ68" s="280">
        <f t="shared" si="326"/>
        <v>0</v>
      </c>
      <c r="KA68" s="280">
        <f t="shared" si="327"/>
        <v>0</v>
      </c>
      <c r="KB68" s="44">
        <f t="shared" si="160"/>
        <v>1</v>
      </c>
      <c r="KC68" s="343" t="str">
        <f t="shared" si="161"/>
        <v>F</v>
      </c>
      <c r="KE68" s="280"/>
      <c r="KF68" s="280"/>
      <c r="KG68" s="280"/>
      <c r="KM68" s="218"/>
      <c r="KN68" s="218"/>
      <c r="KO68" s="218"/>
      <c r="KP68" s="218"/>
      <c r="KQ68" s="443"/>
      <c r="NY68" s="544"/>
    </row>
    <row r="69" spans="1:389" ht="16.149999999999999" customHeight="1" x14ac:dyDescent="0.25">
      <c r="A69" s="431" t="str">
        <f t="shared" si="367"/>
        <v>Liverpool</v>
      </c>
      <c r="B69" s="1092">
        <f t="shared" si="368"/>
        <v>0</v>
      </c>
      <c r="C69" s="1092">
        <f t="shared" si="369"/>
        <v>0</v>
      </c>
      <c r="D69" s="1092">
        <f t="shared" si="370"/>
        <v>0</v>
      </c>
      <c r="E69" s="1092">
        <f t="shared" si="371"/>
        <v>0</v>
      </c>
      <c r="F69" s="1092">
        <f t="shared" si="372"/>
        <v>0</v>
      </c>
      <c r="G69" s="280">
        <f t="shared" si="373"/>
        <v>0</v>
      </c>
      <c r="H69" s="280">
        <f t="shared" si="374"/>
        <v>0</v>
      </c>
      <c r="I69" s="280">
        <f t="shared" si="375"/>
        <v>0</v>
      </c>
      <c r="J69" s="280">
        <f t="shared" si="376"/>
        <v>0</v>
      </c>
      <c r="K69" s="280">
        <f t="shared" si="377"/>
        <v>0</v>
      </c>
      <c r="L69" s="381">
        <f t="shared" si="378"/>
        <v>0</v>
      </c>
      <c r="M69" s="381">
        <f t="shared" si="379"/>
        <v>0</v>
      </c>
      <c r="N69" s="381">
        <f t="shared" si="380"/>
        <v>0</v>
      </c>
      <c r="O69" s="381">
        <f t="shared" si="381"/>
        <v>0</v>
      </c>
      <c r="P69" s="381">
        <f t="shared" si="382"/>
        <v>0</v>
      </c>
      <c r="Q69" s="220"/>
      <c r="R69" s="1090">
        <v>11</v>
      </c>
      <c r="S69" s="798"/>
      <c r="T69" s="1531"/>
      <c r="U69" s="431" t="s">
        <v>219</v>
      </c>
      <c r="V69" s="687"/>
      <c r="W69" s="687"/>
      <c r="X69" s="687"/>
      <c r="Y69" s="686">
        <v>13</v>
      </c>
      <c r="Z69" s="1085">
        <v>11</v>
      </c>
      <c r="AA69" s="1477">
        <v>240</v>
      </c>
      <c r="AB69" s="1477"/>
      <c r="AC69" s="684">
        <v>0</v>
      </c>
      <c r="AD69" s="684">
        <v>0</v>
      </c>
      <c r="AE69" s="684">
        <v>0</v>
      </c>
      <c r="AF69" s="684">
        <v>0</v>
      </c>
      <c r="AG69" s="1477" t="s">
        <v>22</v>
      </c>
      <c r="AH69" s="1477"/>
      <c r="AI69" s="1467" t="str">
        <f t="shared" si="383"/>
        <v xml:space="preserve"> </v>
      </c>
      <c r="AJ69" s="1468"/>
      <c r="AK69" s="707" t="str">
        <f t="shared" si="384"/>
        <v xml:space="preserve"> </v>
      </c>
      <c r="AL69" s="706"/>
      <c r="AM69" s="786" t="str">
        <f t="shared" si="403"/>
        <v xml:space="preserve"> </v>
      </c>
      <c r="AN69" s="785" t="str">
        <f t="shared" si="403"/>
        <v xml:space="preserve"> </v>
      </c>
      <c r="AO69" s="1096"/>
      <c r="AP69" s="889"/>
      <c r="AQ69" s="706"/>
      <c r="AR69" s="706"/>
      <c r="AS69" s="706"/>
      <c r="AT69" s="706"/>
      <c r="AU69" s="706"/>
      <c r="AV69" s="794"/>
      <c r="AW69" s="655"/>
      <c r="AX69" s="78">
        <f t="shared" si="385"/>
        <v>0</v>
      </c>
      <c r="AY69" s="78">
        <f t="shared" si="386"/>
        <v>0</v>
      </c>
      <c r="AZ69" s="78">
        <f t="shared" si="387"/>
        <v>0</v>
      </c>
      <c r="BA69" s="78">
        <f t="shared" si="388"/>
        <v>0</v>
      </c>
      <c r="BB69" s="78">
        <f t="shared" si="389"/>
        <v>0</v>
      </c>
      <c r="BC69" s="78">
        <f t="shared" si="390"/>
        <v>0</v>
      </c>
      <c r="BD69" s="78">
        <f t="shared" si="391"/>
        <v>0</v>
      </c>
      <c r="BE69" s="78">
        <f t="shared" si="392"/>
        <v>0</v>
      </c>
      <c r="BF69" s="78">
        <f t="shared" si="393"/>
        <v>0</v>
      </c>
      <c r="BG69" s="78">
        <f t="shared" si="394"/>
        <v>0</v>
      </c>
      <c r="BH69" s="78">
        <f t="shared" si="395"/>
        <v>0</v>
      </c>
      <c r="BI69" s="78">
        <f t="shared" si="396"/>
        <v>0</v>
      </c>
      <c r="BJ69" s="78">
        <f t="shared" si="397"/>
        <v>0</v>
      </c>
      <c r="BK69" s="78">
        <f t="shared" si="398"/>
        <v>0</v>
      </c>
      <c r="BM69" s="277"/>
      <c r="BN69" s="431" t="s">
        <v>219</v>
      </c>
      <c r="BO69" s="277"/>
      <c r="BP69" s="701" t="str">
        <f t="shared" si="351"/>
        <v xml:space="preserve"> </v>
      </c>
      <c r="BQ69" s="693">
        <f>'DEGREE MARK SIMULATOR'!CW69</f>
        <v>0</v>
      </c>
      <c r="BR69" s="367">
        <f t="shared" si="361"/>
        <v>0</v>
      </c>
      <c r="BS69" s="81"/>
      <c r="BT69" s="81"/>
      <c r="BU69" s="282"/>
      <c r="BX69" s="196" t="str">
        <f t="shared" si="352"/>
        <v xml:space="preserve"> </v>
      </c>
      <c r="BY69" s="81" t="str">
        <f t="shared" si="353"/>
        <v xml:space="preserve"> </v>
      </c>
      <c r="BZ69" s="78">
        <f t="shared" si="362"/>
        <v>1</v>
      </c>
      <c r="CA69" s="55" t="s">
        <v>219</v>
      </c>
      <c r="CB69" s="132" t="s">
        <v>202</v>
      </c>
      <c r="CC69" s="143" t="s">
        <v>203</v>
      </c>
      <c r="CD69" s="37">
        <v>240</v>
      </c>
      <c r="CE69" s="35"/>
      <c r="CF69" s="35"/>
      <c r="CG69" s="36"/>
      <c r="CH69" s="36"/>
      <c r="CI69" s="37" t="s">
        <v>22</v>
      </c>
      <c r="CJ69" s="311">
        <v>13</v>
      </c>
      <c r="CK69" s="37">
        <v>17</v>
      </c>
      <c r="CL69" s="41" t="s">
        <v>904</v>
      </c>
      <c r="CM69" s="605">
        <f t="shared" si="401"/>
        <v>0</v>
      </c>
      <c r="CN69" s="41" t="s">
        <v>903</v>
      </c>
      <c r="CO69" s="604">
        <f t="shared" si="402"/>
        <v>0</v>
      </c>
      <c r="CR69" s="78">
        <f>CM69*0.7</f>
        <v>0</v>
      </c>
      <c r="CS69" s="78">
        <f>CO69*0.3</f>
        <v>0</v>
      </c>
      <c r="CT69" s="78" t="str">
        <f t="shared" si="399"/>
        <v>30 - 70</v>
      </c>
      <c r="CW69" s="613">
        <f t="shared" si="400"/>
        <v>0</v>
      </c>
      <c r="CX69" s="431" t="s">
        <v>219</v>
      </c>
      <c r="DQ69" s="428">
        <v>16</v>
      </c>
      <c r="DR69" s="368">
        <v>1.5100000000000005E-3</v>
      </c>
      <c r="DS69" s="364">
        <f>IJ39</f>
        <v>0</v>
      </c>
      <c r="DT69" s="251" t="str">
        <f>IF(DS69=1,(II39+DR69),"X")</f>
        <v>X</v>
      </c>
      <c r="DU69" s="251" t="str">
        <f>IF(DS69=1,IH39,"X")</f>
        <v>X</v>
      </c>
      <c r="DV69" s="218">
        <f t="shared" si="337"/>
        <v>0</v>
      </c>
      <c r="DW69" s="352">
        <f>DW68+DS69</f>
        <v>1</v>
      </c>
      <c r="DX69" s="354" t="e">
        <f t="shared" si="331"/>
        <v>#NUM!</v>
      </c>
      <c r="DY69" s="354" t="e">
        <f t="shared" si="332"/>
        <v>#NUM!</v>
      </c>
      <c r="DZ69" s="355">
        <f t="shared" si="338"/>
        <v>0</v>
      </c>
      <c r="EA69" s="251">
        <f t="shared" si="339"/>
        <v>0</v>
      </c>
      <c r="EB69" s="218">
        <f>DZ69+EC70</f>
        <v>0</v>
      </c>
      <c r="EC69" s="356">
        <f t="shared" si="340"/>
        <v>0</v>
      </c>
      <c r="ED69" s="357" t="e">
        <f t="shared" si="341"/>
        <v>#NUM!</v>
      </c>
      <c r="EE69" s="218">
        <f t="shared" si="357"/>
        <v>0</v>
      </c>
      <c r="EF69" s="218" t="str">
        <f t="shared" si="342"/>
        <v>x</v>
      </c>
      <c r="EG69" s="358">
        <f t="shared" si="343"/>
        <v>0</v>
      </c>
      <c r="EH69" s="358">
        <f>EG69+EI70</f>
        <v>0</v>
      </c>
      <c r="EI69" s="359">
        <f t="shared" si="334"/>
        <v>0</v>
      </c>
      <c r="EJ69" s="360">
        <f t="shared" si="359"/>
        <v>0</v>
      </c>
      <c r="EK69" s="361" t="e">
        <f t="shared" si="344"/>
        <v>#NUM!</v>
      </c>
      <c r="EL69" s="218"/>
      <c r="EM69" s="218"/>
      <c r="EN69" s="218"/>
      <c r="HQ69" s="78">
        <v>90</v>
      </c>
      <c r="HR69" s="78" t="e">
        <f>HR49</f>
        <v>#NUM!</v>
      </c>
      <c r="HS69" s="78" t="e">
        <f>GW49</f>
        <v>#DIV/0!</v>
      </c>
      <c r="HT69" s="78">
        <v>120</v>
      </c>
      <c r="HU69" s="41"/>
      <c r="IJ69" s="81"/>
      <c r="IM69" s="280">
        <f t="shared" si="262"/>
        <v>35</v>
      </c>
      <c r="IN69" s="440">
        <f t="shared" si="364"/>
        <v>0</v>
      </c>
      <c r="IO69" s="196" t="str">
        <f t="shared" si="154"/>
        <v xml:space="preserve"> </v>
      </c>
      <c r="IP69" s="342" t="str">
        <f t="shared" si="366"/>
        <v xml:space="preserve"> </v>
      </c>
      <c r="IQ69" s="280">
        <f t="shared" si="156"/>
        <v>0</v>
      </c>
      <c r="IR69" s="196">
        <f t="shared" si="365"/>
        <v>0</v>
      </c>
      <c r="IS69" s="280">
        <f t="shared" si="296"/>
        <v>1</v>
      </c>
      <c r="IT69" s="280">
        <f t="shared" si="297"/>
        <v>0</v>
      </c>
      <c r="IU69" s="280">
        <f t="shared" si="298"/>
        <v>0</v>
      </c>
      <c r="IV69" s="280">
        <f t="shared" si="299"/>
        <v>0</v>
      </c>
      <c r="IW69" s="280">
        <f t="shared" si="300"/>
        <v>0</v>
      </c>
      <c r="IX69" s="280">
        <f t="shared" si="301"/>
        <v>0</v>
      </c>
      <c r="IY69" s="280">
        <f t="shared" si="302"/>
        <v>0</v>
      </c>
      <c r="IZ69" s="280">
        <f t="shared" si="303"/>
        <v>0</v>
      </c>
      <c r="JA69" s="280">
        <f t="shared" si="304"/>
        <v>0</v>
      </c>
      <c r="JB69" s="280">
        <f t="shared" si="305"/>
        <v>0</v>
      </c>
      <c r="JC69" s="280">
        <f t="shared" si="306"/>
        <v>0</v>
      </c>
      <c r="JD69" s="280">
        <f t="shared" si="307"/>
        <v>0</v>
      </c>
      <c r="JE69" s="280">
        <f t="shared" si="308"/>
        <v>0</v>
      </c>
      <c r="JF69" s="280">
        <f t="shared" si="309"/>
        <v>0</v>
      </c>
      <c r="JG69" s="280">
        <f t="shared" si="310"/>
        <v>0</v>
      </c>
      <c r="JH69" s="280">
        <f t="shared" si="311"/>
        <v>0</v>
      </c>
      <c r="JI69" s="280">
        <f t="shared" si="312"/>
        <v>0</v>
      </c>
      <c r="JJ69" s="280">
        <f t="shared" si="313"/>
        <v>0</v>
      </c>
      <c r="JK69" s="280">
        <f t="shared" si="314"/>
        <v>0</v>
      </c>
      <c r="JL69" s="280">
        <f t="shared" si="315"/>
        <v>0</v>
      </c>
      <c r="JM69" s="280">
        <f t="shared" si="316"/>
        <v>0</v>
      </c>
      <c r="JN69" s="280">
        <f t="shared" si="317"/>
        <v>0</v>
      </c>
      <c r="JO69" s="280">
        <f t="shared" si="318"/>
        <v>0</v>
      </c>
      <c r="JP69" s="280">
        <f t="shared" si="319"/>
        <v>0</v>
      </c>
      <c r="JQ69" s="280">
        <f t="shared" si="320"/>
        <v>0</v>
      </c>
      <c r="JR69" s="280">
        <f t="shared" si="321"/>
        <v>0</v>
      </c>
      <c r="JS69" s="44">
        <f t="shared" si="157"/>
        <v>1</v>
      </c>
      <c r="JT69" s="343" t="str">
        <f t="shared" si="158"/>
        <v>F</v>
      </c>
      <c r="JU69" s="44"/>
      <c r="JV69" s="280">
        <f t="shared" si="322"/>
        <v>1</v>
      </c>
      <c r="JW69" s="280">
        <f t="shared" si="323"/>
        <v>0</v>
      </c>
      <c r="JX69" s="280">
        <f t="shared" si="324"/>
        <v>0</v>
      </c>
      <c r="JY69" s="280">
        <f t="shared" si="325"/>
        <v>0</v>
      </c>
      <c r="JZ69" s="280">
        <f t="shared" si="326"/>
        <v>0</v>
      </c>
      <c r="KA69" s="280">
        <f t="shared" si="327"/>
        <v>0</v>
      </c>
      <c r="KB69" s="44">
        <f t="shared" si="160"/>
        <v>1</v>
      </c>
      <c r="KC69" s="343" t="str">
        <f t="shared" si="161"/>
        <v>F</v>
      </c>
      <c r="KE69" s="280"/>
      <c r="KF69" s="280"/>
      <c r="KG69" s="280"/>
      <c r="KM69" s="218"/>
      <c r="KN69" s="444"/>
      <c r="KO69" s="444"/>
      <c r="KP69" s="218"/>
      <c r="KQ69" s="218"/>
      <c r="NY69" s="544"/>
    </row>
    <row r="70" spans="1:389" ht="16.149999999999999" customHeight="1" thickBot="1" x14ac:dyDescent="0.3">
      <c r="A70" s="431" t="str">
        <f t="shared" si="367"/>
        <v>Manchester Met</v>
      </c>
      <c r="B70" s="1092">
        <f t="shared" si="368"/>
        <v>0</v>
      </c>
      <c r="C70" s="1092">
        <f t="shared" si="369"/>
        <v>0</v>
      </c>
      <c r="D70" s="1092">
        <f t="shared" si="370"/>
        <v>0</v>
      </c>
      <c r="E70" s="1092">
        <f t="shared" si="371"/>
        <v>0</v>
      </c>
      <c r="F70" s="1092">
        <f t="shared" si="372"/>
        <v>0</v>
      </c>
      <c r="G70" s="280">
        <f t="shared" si="373"/>
        <v>0</v>
      </c>
      <c r="H70" s="280">
        <f t="shared" si="374"/>
        <v>0</v>
      </c>
      <c r="I70" s="280">
        <f t="shared" si="375"/>
        <v>0</v>
      </c>
      <c r="J70" s="280">
        <f t="shared" si="376"/>
        <v>0</v>
      </c>
      <c r="K70" s="280">
        <f t="shared" si="377"/>
        <v>0</v>
      </c>
      <c r="L70" s="381">
        <f t="shared" si="378"/>
        <v>0</v>
      </c>
      <c r="M70" s="381">
        <f t="shared" si="379"/>
        <v>0</v>
      </c>
      <c r="N70" s="381">
        <f t="shared" si="380"/>
        <v>0</v>
      </c>
      <c r="O70" s="381">
        <f t="shared" si="381"/>
        <v>0</v>
      </c>
      <c r="P70" s="381">
        <f t="shared" si="382"/>
        <v>0</v>
      </c>
      <c r="Q70" s="220"/>
      <c r="R70" s="1090">
        <v>12</v>
      </c>
      <c r="S70" s="798"/>
      <c r="T70" s="1531"/>
      <c r="U70" s="431" t="s">
        <v>257</v>
      </c>
      <c r="V70" s="687"/>
      <c r="W70" s="687"/>
      <c r="X70" s="687"/>
      <c r="Y70" s="686">
        <v>14</v>
      </c>
      <c r="Z70" s="1085">
        <v>12</v>
      </c>
      <c r="AA70" s="1477">
        <v>240</v>
      </c>
      <c r="AB70" s="1477"/>
      <c r="AC70" s="684">
        <v>0</v>
      </c>
      <c r="AD70" s="684">
        <v>0</v>
      </c>
      <c r="AE70" s="684">
        <v>0</v>
      </c>
      <c r="AF70" s="684">
        <v>0</v>
      </c>
      <c r="AG70" s="1477" t="s">
        <v>23</v>
      </c>
      <c r="AH70" s="1477"/>
      <c r="AI70" s="1467" t="str">
        <f t="shared" si="383"/>
        <v xml:space="preserve"> </v>
      </c>
      <c r="AJ70" s="1468"/>
      <c r="AK70" s="707" t="str">
        <f t="shared" si="384"/>
        <v xml:space="preserve"> </v>
      </c>
      <c r="AL70" s="706"/>
      <c r="AM70" s="786" t="str">
        <f t="shared" si="403"/>
        <v xml:space="preserve"> </v>
      </c>
      <c r="AN70" s="787" t="str">
        <f t="shared" si="403"/>
        <v xml:space="preserve"> </v>
      </c>
      <c r="AO70" s="1096"/>
      <c r="AP70" s="889"/>
      <c r="AQ70" s="706"/>
      <c r="AR70" s="706"/>
      <c r="AS70" s="706"/>
      <c r="AT70" s="706"/>
      <c r="AU70" s="706"/>
      <c r="AV70" s="794"/>
      <c r="AW70" s="655"/>
      <c r="AX70" s="78">
        <f t="shared" si="385"/>
        <v>0</v>
      </c>
      <c r="AY70" s="78">
        <f t="shared" si="386"/>
        <v>0</v>
      </c>
      <c r="AZ70" s="78">
        <f t="shared" si="387"/>
        <v>0</v>
      </c>
      <c r="BA70" s="78">
        <f t="shared" si="388"/>
        <v>0</v>
      </c>
      <c r="BB70" s="78">
        <f t="shared" si="389"/>
        <v>0</v>
      </c>
      <c r="BC70" s="78">
        <f t="shared" si="390"/>
        <v>0</v>
      </c>
      <c r="BD70" s="78">
        <f t="shared" si="391"/>
        <v>0</v>
      </c>
      <c r="BE70" s="78">
        <f t="shared" si="392"/>
        <v>0</v>
      </c>
      <c r="BF70" s="78">
        <f t="shared" si="393"/>
        <v>0</v>
      </c>
      <c r="BG70" s="78">
        <f t="shared" si="394"/>
        <v>0</v>
      </c>
      <c r="BH70" s="78">
        <f t="shared" si="395"/>
        <v>0</v>
      </c>
      <c r="BI70" s="78">
        <f t="shared" si="396"/>
        <v>0</v>
      </c>
      <c r="BJ70" s="78">
        <f t="shared" si="397"/>
        <v>0</v>
      </c>
      <c r="BK70" s="78">
        <f t="shared" si="398"/>
        <v>0</v>
      </c>
      <c r="BM70" s="277"/>
      <c r="BN70" s="431" t="s">
        <v>257</v>
      </c>
      <c r="BO70" s="277"/>
      <c r="BP70" s="701" t="str">
        <f t="shared" si="351"/>
        <v xml:space="preserve"> </v>
      </c>
      <c r="BQ70" s="693">
        <f>'DEGREE MARK SIMULATOR'!CW70</f>
        <v>0</v>
      </c>
      <c r="BR70" s="367">
        <f t="shared" si="361"/>
        <v>0</v>
      </c>
      <c r="BS70" s="445"/>
      <c r="BT70" s="81"/>
      <c r="BU70" s="282"/>
      <c r="BV70" s="592"/>
      <c r="BX70" s="196" t="str">
        <f t="shared" si="352"/>
        <v xml:space="preserve"> </v>
      </c>
      <c r="BY70" s="81" t="str">
        <f t="shared" si="353"/>
        <v xml:space="preserve"> </v>
      </c>
      <c r="BZ70" s="78">
        <f t="shared" si="362"/>
        <v>1</v>
      </c>
      <c r="CA70" s="55" t="s">
        <v>257</v>
      </c>
      <c r="CB70" s="132" t="s">
        <v>237</v>
      </c>
      <c r="CC70" s="138" t="s">
        <v>238</v>
      </c>
      <c r="CD70" s="37">
        <v>240</v>
      </c>
      <c r="CE70" s="35"/>
      <c r="CF70" s="35"/>
      <c r="CG70" s="36"/>
      <c r="CH70" s="36"/>
      <c r="CI70" s="37" t="s">
        <v>23</v>
      </c>
      <c r="CJ70" s="311">
        <v>14</v>
      </c>
      <c r="CK70" s="37">
        <v>18</v>
      </c>
      <c r="CL70" s="41" t="s">
        <v>904</v>
      </c>
      <c r="CM70" s="605">
        <f t="shared" si="401"/>
        <v>0</v>
      </c>
      <c r="CN70" s="41" t="s">
        <v>903</v>
      </c>
      <c r="CO70" s="604">
        <f t="shared" si="402"/>
        <v>0</v>
      </c>
      <c r="CR70" s="78">
        <f>CM70*0.75</f>
        <v>0</v>
      </c>
      <c r="CS70" s="78">
        <f>CO70*0.25</f>
        <v>0</v>
      </c>
      <c r="CT70" s="78" t="str">
        <f t="shared" si="399"/>
        <v>25 - 75</v>
      </c>
      <c r="CW70" s="613">
        <f t="shared" si="400"/>
        <v>0</v>
      </c>
      <c r="CX70" s="431" t="s">
        <v>257</v>
      </c>
      <c r="DR70" s="263"/>
      <c r="DS70" s="263"/>
      <c r="DT70" s="218">
        <f>SUM(DS54:DS69)</f>
        <v>0</v>
      </c>
      <c r="DU70" s="389"/>
      <c r="DV70" s="388">
        <f>SUM(DU54:DU69)</f>
        <v>0</v>
      </c>
      <c r="DW70" s="389"/>
      <c r="DX70" s="395"/>
      <c r="DY70" s="395"/>
      <c r="DZ70" s="389"/>
      <c r="EA70" s="388">
        <f>SUM(DZ54:DZ69)</f>
        <v>0</v>
      </c>
      <c r="EB70" s="390"/>
      <c r="EC70" s="388"/>
      <c r="ED70" s="388">
        <f>SUM(EC54:EC69)</f>
        <v>0</v>
      </c>
      <c r="EE70" s="263"/>
      <c r="EF70" s="388">
        <f>SUM(EE54:EE69)</f>
        <v>0</v>
      </c>
      <c r="EG70" s="388">
        <f>SUM(EF54:EF69)</f>
        <v>0</v>
      </c>
      <c r="EH70" s="392"/>
      <c r="EI70" s="392"/>
      <c r="EJ70" s="392"/>
      <c r="EK70" s="365">
        <f>SUM(EJ54:EJ69)</f>
        <v>0</v>
      </c>
      <c r="EL70" s="361" t="e">
        <f>SUM(EK54:EK69)</f>
        <v>#NUM!</v>
      </c>
      <c r="EM70" s="218"/>
      <c r="EN70" s="218"/>
      <c r="EO70" s="218"/>
      <c r="HQ70" s="78">
        <v>105</v>
      </c>
      <c r="HR70" s="78" t="e">
        <f>HD49</f>
        <v>#NUM!</v>
      </c>
      <c r="HS70" s="78" t="e">
        <f>HD49</f>
        <v>#NUM!</v>
      </c>
      <c r="HT70" s="78">
        <v>105</v>
      </c>
      <c r="HU70" s="41"/>
      <c r="IK70" s="81"/>
      <c r="IL70" s="381">
        <f>SUM(IQ59:IQ70)</f>
        <v>0</v>
      </c>
      <c r="IM70" s="280">
        <f>IM69+1</f>
        <v>36</v>
      </c>
      <c r="IN70" s="440">
        <f t="shared" ref="IN70" si="404">AO126</f>
        <v>0</v>
      </c>
      <c r="IO70" s="196" t="str">
        <f t="shared" si="154"/>
        <v xml:space="preserve"> </v>
      </c>
      <c r="IP70" s="342" t="str">
        <f t="shared" si="366"/>
        <v xml:space="preserve"> </v>
      </c>
      <c r="IQ70" s="280">
        <f t="shared" si="156"/>
        <v>0</v>
      </c>
      <c r="IR70" s="199">
        <f t="shared" ref="IR70" si="405">AM46</f>
        <v>0</v>
      </c>
      <c r="IS70" s="280">
        <f t="shared" si="296"/>
        <v>1</v>
      </c>
      <c r="IT70" s="280">
        <f t="shared" si="297"/>
        <v>0</v>
      </c>
      <c r="IU70" s="280">
        <f t="shared" si="298"/>
        <v>0</v>
      </c>
      <c r="IV70" s="280">
        <f t="shared" si="299"/>
        <v>0</v>
      </c>
      <c r="IW70" s="280">
        <f t="shared" si="300"/>
        <v>0</v>
      </c>
      <c r="IX70" s="280">
        <f t="shared" si="301"/>
        <v>0</v>
      </c>
      <c r="IY70" s="280">
        <f t="shared" si="302"/>
        <v>0</v>
      </c>
      <c r="IZ70" s="280">
        <f t="shared" si="303"/>
        <v>0</v>
      </c>
      <c r="JA70" s="280">
        <f t="shared" si="304"/>
        <v>0</v>
      </c>
      <c r="JB70" s="280">
        <f t="shared" si="305"/>
        <v>0</v>
      </c>
      <c r="JC70" s="280">
        <f t="shared" si="306"/>
        <v>0</v>
      </c>
      <c r="JD70" s="280">
        <f t="shared" si="307"/>
        <v>0</v>
      </c>
      <c r="JE70" s="280">
        <f t="shared" si="308"/>
        <v>0</v>
      </c>
      <c r="JF70" s="280">
        <f t="shared" si="309"/>
        <v>0</v>
      </c>
      <c r="JG70" s="280">
        <f t="shared" si="310"/>
        <v>0</v>
      </c>
      <c r="JH70" s="280">
        <f t="shared" si="311"/>
        <v>0</v>
      </c>
      <c r="JI70" s="280">
        <f t="shared" si="312"/>
        <v>0</v>
      </c>
      <c r="JJ70" s="280">
        <f t="shared" si="313"/>
        <v>0</v>
      </c>
      <c r="JK70" s="280">
        <f t="shared" si="314"/>
        <v>0</v>
      </c>
      <c r="JL70" s="280">
        <f t="shared" si="315"/>
        <v>0</v>
      </c>
      <c r="JM70" s="280">
        <f t="shared" si="316"/>
        <v>0</v>
      </c>
      <c r="JN70" s="280">
        <f t="shared" si="317"/>
        <v>0</v>
      </c>
      <c r="JO70" s="280">
        <f t="shared" si="318"/>
        <v>0</v>
      </c>
      <c r="JP70" s="280">
        <f t="shared" si="319"/>
        <v>0</v>
      </c>
      <c r="JQ70" s="280">
        <f t="shared" si="320"/>
        <v>0</v>
      </c>
      <c r="JR70" s="280">
        <f t="shared" si="321"/>
        <v>0</v>
      </c>
      <c r="JS70" s="44">
        <f t="shared" si="157"/>
        <v>1</v>
      </c>
      <c r="JT70" s="1124" t="str">
        <f t="shared" si="158"/>
        <v>F</v>
      </c>
      <c r="JU70" s="44"/>
      <c r="JV70" s="280">
        <f t="shared" si="322"/>
        <v>1</v>
      </c>
      <c r="JW70" s="280">
        <f t="shared" si="323"/>
        <v>0</v>
      </c>
      <c r="JX70" s="280">
        <f t="shared" si="324"/>
        <v>0</v>
      </c>
      <c r="JY70" s="280">
        <f t="shared" si="325"/>
        <v>0</v>
      </c>
      <c r="JZ70" s="280">
        <f t="shared" si="326"/>
        <v>0</v>
      </c>
      <c r="KA70" s="280">
        <f t="shared" si="327"/>
        <v>0</v>
      </c>
      <c r="KB70" s="44">
        <f t="shared" si="160"/>
        <v>1</v>
      </c>
      <c r="KC70" s="1124" t="str">
        <f t="shared" si="161"/>
        <v>F</v>
      </c>
      <c r="KE70" s="280"/>
      <c r="KF70" s="280"/>
      <c r="KG70" s="280"/>
      <c r="KM70" s="401"/>
      <c r="KN70" s="444"/>
      <c r="KO70" s="444"/>
      <c r="KP70" s="218"/>
      <c r="KQ70" s="218"/>
      <c r="NY70" s="544"/>
    </row>
    <row r="71" spans="1:389" ht="16.149999999999999" customHeight="1" x14ac:dyDescent="0.25">
      <c r="A71" s="431" t="str">
        <f t="shared" si="367"/>
        <v>Derby</v>
      </c>
      <c r="B71" s="1092">
        <f t="shared" si="368"/>
        <v>0</v>
      </c>
      <c r="C71" s="1092">
        <f t="shared" si="369"/>
        <v>0</v>
      </c>
      <c r="D71" s="1092">
        <f t="shared" si="370"/>
        <v>0</v>
      </c>
      <c r="E71" s="1092">
        <f t="shared" si="371"/>
        <v>0</v>
      </c>
      <c r="F71" s="1092">
        <f t="shared" si="372"/>
        <v>0</v>
      </c>
      <c r="G71" s="280">
        <f t="shared" si="373"/>
        <v>0</v>
      </c>
      <c r="H71" s="280">
        <f t="shared" si="374"/>
        <v>0</v>
      </c>
      <c r="I71" s="280">
        <f t="shared" si="375"/>
        <v>0</v>
      </c>
      <c r="J71" s="280">
        <f t="shared" si="376"/>
        <v>0</v>
      </c>
      <c r="K71" s="280">
        <f t="shared" si="377"/>
        <v>0</v>
      </c>
      <c r="L71" s="381">
        <f t="shared" si="378"/>
        <v>0</v>
      </c>
      <c r="M71" s="381">
        <f t="shared" si="379"/>
        <v>0</v>
      </c>
      <c r="N71" s="381">
        <f t="shared" si="380"/>
        <v>0</v>
      </c>
      <c r="O71" s="381">
        <f t="shared" si="381"/>
        <v>0</v>
      </c>
      <c r="P71" s="381">
        <f t="shared" si="382"/>
        <v>0</v>
      </c>
      <c r="Q71" s="220"/>
      <c r="R71" s="1090">
        <v>3</v>
      </c>
      <c r="S71" s="798"/>
      <c r="T71" s="1531"/>
      <c r="U71" s="431" t="s">
        <v>270</v>
      </c>
      <c r="V71" s="687"/>
      <c r="W71" s="687"/>
      <c r="X71" s="687"/>
      <c r="Y71" s="686">
        <v>15</v>
      </c>
      <c r="Z71" s="1085">
        <v>3</v>
      </c>
      <c r="AA71" s="1477">
        <v>240</v>
      </c>
      <c r="AB71" s="1477"/>
      <c r="AC71" s="684">
        <v>0</v>
      </c>
      <c r="AD71" s="684">
        <v>0</v>
      </c>
      <c r="AE71" s="684">
        <v>0</v>
      </c>
      <c r="AF71" s="684">
        <v>0</v>
      </c>
      <c r="AG71" s="1477" t="s">
        <v>24</v>
      </c>
      <c r="AH71" s="1477"/>
      <c r="AI71" s="1467" t="str">
        <f t="shared" si="383"/>
        <v xml:space="preserve"> </v>
      </c>
      <c r="AJ71" s="1468"/>
      <c r="AK71" s="707" t="str">
        <f t="shared" si="384"/>
        <v xml:space="preserve"> </v>
      </c>
      <c r="AL71" s="706"/>
      <c r="AM71" s="786" t="str">
        <f t="shared" si="403"/>
        <v xml:space="preserve"> </v>
      </c>
      <c r="AN71" s="785" t="str">
        <f t="shared" si="403"/>
        <v xml:space="preserve"> </v>
      </c>
      <c r="AO71" s="1096"/>
      <c r="AP71" s="889"/>
      <c r="AQ71" s="665"/>
      <c r="AR71" s="665"/>
      <c r="AS71" s="665"/>
      <c r="AT71" s="665"/>
      <c r="AU71" s="665"/>
      <c r="AV71" s="794"/>
      <c r="AW71" s="655"/>
      <c r="AX71" s="78">
        <f t="shared" si="385"/>
        <v>0</v>
      </c>
      <c r="AY71" s="78">
        <f t="shared" si="386"/>
        <v>0</v>
      </c>
      <c r="AZ71" s="78">
        <f t="shared" si="387"/>
        <v>0</v>
      </c>
      <c r="BA71" s="78">
        <f t="shared" si="388"/>
        <v>0</v>
      </c>
      <c r="BB71" s="78">
        <f t="shared" si="389"/>
        <v>0</v>
      </c>
      <c r="BC71" s="78">
        <f t="shared" si="390"/>
        <v>0</v>
      </c>
      <c r="BD71" s="78">
        <f t="shared" si="391"/>
        <v>0</v>
      </c>
      <c r="BE71" s="78">
        <f t="shared" si="392"/>
        <v>0</v>
      </c>
      <c r="BF71" s="78">
        <f t="shared" si="393"/>
        <v>0</v>
      </c>
      <c r="BG71" s="78">
        <f t="shared" si="394"/>
        <v>0</v>
      </c>
      <c r="BH71" s="78">
        <f t="shared" si="395"/>
        <v>0</v>
      </c>
      <c r="BI71" s="78">
        <f t="shared" si="396"/>
        <v>0</v>
      </c>
      <c r="BJ71" s="78">
        <f t="shared" si="397"/>
        <v>0</v>
      </c>
      <c r="BK71" s="78">
        <f t="shared" si="398"/>
        <v>0</v>
      </c>
      <c r="BM71" s="277"/>
      <c r="BN71" s="431" t="s">
        <v>270</v>
      </c>
      <c r="BO71" s="277"/>
      <c r="BP71" s="701" t="str">
        <f t="shared" si="351"/>
        <v xml:space="preserve"> </v>
      </c>
      <c r="BQ71" s="693">
        <f>'DEGREE MARK SIMULATOR'!CW71</f>
        <v>0</v>
      </c>
      <c r="BR71" s="367">
        <f t="shared" si="361"/>
        <v>0</v>
      </c>
      <c r="BS71" s="81"/>
      <c r="BT71" s="81"/>
      <c r="BU71" s="282"/>
      <c r="BX71" s="196" t="str">
        <f t="shared" si="352"/>
        <v xml:space="preserve"> </v>
      </c>
      <c r="BY71" s="81" t="str">
        <f t="shared" si="353"/>
        <v xml:space="preserve"> </v>
      </c>
      <c r="BZ71" s="78">
        <f t="shared" si="362"/>
        <v>1</v>
      </c>
      <c r="CA71" s="55" t="s">
        <v>270</v>
      </c>
      <c r="CB71" s="132" t="s">
        <v>661</v>
      </c>
      <c r="CC71" s="138" t="s">
        <v>272</v>
      </c>
      <c r="CD71" s="37">
        <v>240</v>
      </c>
      <c r="CE71" s="35"/>
      <c r="CF71" s="35"/>
      <c r="CG71" s="36"/>
      <c r="CH71" s="36"/>
      <c r="CI71" s="37" t="s">
        <v>24</v>
      </c>
      <c r="CJ71" s="311">
        <v>15</v>
      </c>
      <c r="CK71" s="37">
        <v>19</v>
      </c>
      <c r="CL71" s="41" t="s">
        <v>904</v>
      </c>
      <c r="CM71" s="605">
        <f t="shared" si="401"/>
        <v>0</v>
      </c>
      <c r="CN71" s="41" t="s">
        <v>903</v>
      </c>
      <c r="CO71" s="604">
        <f t="shared" si="402"/>
        <v>0</v>
      </c>
      <c r="CR71" s="78">
        <f>CM71*0.8</f>
        <v>0</v>
      </c>
      <c r="CS71" s="78">
        <f>CO71*0.2</f>
        <v>0</v>
      </c>
      <c r="CT71" s="78" t="str">
        <f t="shared" si="399"/>
        <v>20 - 80</v>
      </c>
      <c r="CW71" s="613">
        <f t="shared" si="400"/>
        <v>0</v>
      </c>
      <c r="CX71" s="431" t="s">
        <v>270</v>
      </c>
      <c r="DR71" s="263"/>
      <c r="DS71" s="263"/>
      <c r="DT71" s="263"/>
      <c r="DU71" s="263"/>
      <c r="DV71" s="263"/>
      <c r="DW71" s="263"/>
      <c r="DX71" s="355"/>
      <c r="DY71" s="263"/>
      <c r="DZ71" s="263"/>
      <c r="EA71" s="355"/>
      <c r="EB71" s="263"/>
      <c r="EC71" s="263"/>
      <c r="ED71" s="263"/>
      <c r="EE71" s="405"/>
      <c r="EF71" s="401">
        <f>100-EF70</f>
        <v>100</v>
      </c>
      <c r="EG71" s="401"/>
      <c r="EH71" s="392"/>
      <c r="EI71" s="392"/>
      <c r="EJ71" s="392"/>
      <c r="EK71" s="392"/>
      <c r="EL71" s="403" t="e">
        <f>EL70 / EK70</f>
        <v>#NUM!</v>
      </c>
      <c r="EM71" s="218"/>
      <c r="EN71" s="218"/>
      <c r="EO71" s="218"/>
      <c r="HQ71" s="78">
        <v>120</v>
      </c>
      <c r="HR71" s="78" t="e">
        <f>GW49</f>
        <v>#DIV/0!</v>
      </c>
      <c r="HS71" s="78" t="e">
        <f>HR49</f>
        <v>#NUM!</v>
      </c>
      <c r="HT71" s="78">
        <v>90</v>
      </c>
      <c r="HU71" s="41"/>
      <c r="IK71" s="81"/>
      <c r="IM71" s="41" t="s">
        <v>13</v>
      </c>
      <c r="IN71" s="446">
        <f>$Z$129</f>
        <v>1</v>
      </c>
      <c r="IO71" s="196" t="str">
        <f>IF(IN71=2,JT71," ")</f>
        <v xml:space="preserve"> </v>
      </c>
      <c r="IP71" s="342"/>
      <c r="IQ71" s="280">
        <f t="shared" si="156"/>
        <v>0</v>
      </c>
      <c r="IR71" s="1125">
        <f>Y48</f>
        <v>0</v>
      </c>
      <c r="IS71" s="1126">
        <f t="shared" si="296"/>
        <v>1</v>
      </c>
      <c r="IT71" s="1126">
        <f t="shared" si="297"/>
        <v>0</v>
      </c>
      <c r="IU71" s="1126">
        <f t="shared" si="298"/>
        <v>0</v>
      </c>
      <c r="IV71" s="1126">
        <f t="shared" si="299"/>
        <v>0</v>
      </c>
      <c r="IW71" s="1126">
        <f t="shared" si="300"/>
        <v>0</v>
      </c>
      <c r="IX71" s="1126">
        <f t="shared" si="301"/>
        <v>0</v>
      </c>
      <c r="IY71" s="1126">
        <f t="shared" si="302"/>
        <v>0</v>
      </c>
      <c r="IZ71" s="1126">
        <f t="shared" si="303"/>
        <v>0</v>
      </c>
      <c r="JA71" s="1126">
        <f t="shared" si="304"/>
        <v>0</v>
      </c>
      <c r="JB71" s="1126">
        <f t="shared" si="305"/>
        <v>0</v>
      </c>
      <c r="JC71" s="1126">
        <f t="shared" si="306"/>
        <v>0</v>
      </c>
      <c r="JD71" s="1126">
        <f t="shared" si="307"/>
        <v>0</v>
      </c>
      <c r="JE71" s="1126">
        <f t="shared" si="308"/>
        <v>0</v>
      </c>
      <c r="JF71" s="1126">
        <f t="shared" si="309"/>
        <v>0</v>
      </c>
      <c r="JG71" s="1126">
        <f t="shared" si="310"/>
        <v>0</v>
      </c>
      <c r="JH71" s="1126">
        <f t="shared" si="311"/>
        <v>0</v>
      </c>
      <c r="JI71" s="1126">
        <f t="shared" si="312"/>
        <v>0</v>
      </c>
      <c r="JJ71" s="1126">
        <f t="shared" si="313"/>
        <v>0</v>
      </c>
      <c r="JK71" s="1126">
        <f t="shared" si="314"/>
        <v>0</v>
      </c>
      <c r="JL71" s="1126">
        <f t="shared" si="315"/>
        <v>0</v>
      </c>
      <c r="JM71" s="1126">
        <f t="shared" si="316"/>
        <v>0</v>
      </c>
      <c r="JN71" s="1126">
        <f t="shared" si="317"/>
        <v>0</v>
      </c>
      <c r="JO71" s="1126">
        <f t="shared" si="318"/>
        <v>0</v>
      </c>
      <c r="JP71" s="1126">
        <f t="shared" si="319"/>
        <v>0</v>
      </c>
      <c r="JQ71" s="1126">
        <f t="shared" si="320"/>
        <v>0</v>
      </c>
      <c r="JR71" s="1126">
        <f t="shared" si="321"/>
        <v>0</v>
      </c>
      <c r="JS71" s="1127">
        <f t="shared" si="157"/>
        <v>1</v>
      </c>
      <c r="JT71" s="1128" t="str">
        <f t="shared" si="158"/>
        <v>F</v>
      </c>
      <c r="JU71" s="1127"/>
      <c r="JV71" s="1126">
        <f t="shared" si="322"/>
        <v>1</v>
      </c>
      <c r="JW71" s="1126">
        <f t="shared" si="323"/>
        <v>0</v>
      </c>
      <c r="JX71" s="1126">
        <f t="shared" si="324"/>
        <v>0</v>
      </c>
      <c r="JY71" s="1126">
        <f t="shared" si="325"/>
        <v>0</v>
      </c>
      <c r="JZ71" s="1126">
        <f t="shared" si="326"/>
        <v>0</v>
      </c>
      <c r="KA71" s="1126">
        <f t="shared" si="327"/>
        <v>0</v>
      </c>
      <c r="KB71" s="1127">
        <f t="shared" si="160"/>
        <v>1</v>
      </c>
      <c r="KC71" s="1129" t="str">
        <f t="shared" si="161"/>
        <v>F</v>
      </c>
      <c r="KE71" s="280"/>
      <c r="KF71" s="280"/>
      <c r="KG71" s="280"/>
      <c r="KM71" s="218"/>
      <c r="KN71" s="444"/>
      <c r="KO71" s="444"/>
      <c r="KP71" s="218"/>
      <c r="KQ71" s="218"/>
      <c r="NY71" s="544"/>
    </row>
    <row r="72" spans="1:389" ht="16.149999999999999" customHeight="1" x14ac:dyDescent="0.25">
      <c r="A72" s="431" t="str">
        <f t="shared" si="367"/>
        <v>Westminster</v>
      </c>
      <c r="B72" s="1092">
        <f t="shared" si="368"/>
        <v>0</v>
      </c>
      <c r="C72" s="1092">
        <f t="shared" si="369"/>
        <v>0</v>
      </c>
      <c r="D72" s="1092">
        <f t="shared" si="370"/>
        <v>0</v>
      </c>
      <c r="E72" s="1092">
        <f t="shared" si="371"/>
        <v>0</v>
      </c>
      <c r="F72" s="1092">
        <f t="shared" si="372"/>
        <v>0</v>
      </c>
      <c r="G72" s="280">
        <f t="shared" si="373"/>
        <v>0</v>
      </c>
      <c r="H72" s="280">
        <f t="shared" si="374"/>
        <v>0</v>
      </c>
      <c r="I72" s="280">
        <f t="shared" si="375"/>
        <v>0</v>
      </c>
      <c r="J72" s="280">
        <f t="shared" si="376"/>
        <v>0</v>
      </c>
      <c r="K72" s="280">
        <f t="shared" si="377"/>
        <v>0</v>
      </c>
      <c r="L72" s="381">
        <f t="shared" si="378"/>
        <v>0</v>
      </c>
      <c r="M72" s="381">
        <f t="shared" si="379"/>
        <v>0</v>
      </c>
      <c r="N72" s="381">
        <f t="shared" si="380"/>
        <v>0</v>
      </c>
      <c r="O72" s="381">
        <f t="shared" si="381"/>
        <v>0</v>
      </c>
      <c r="P72" s="381">
        <f t="shared" si="382"/>
        <v>0</v>
      </c>
      <c r="Q72" s="220"/>
      <c r="R72" s="1090">
        <v>1</v>
      </c>
      <c r="S72" s="798"/>
      <c r="T72" s="1531"/>
      <c r="U72" s="431" t="s">
        <v>1052</v>
      </c>
      <c r="V72" s="687"/>
      <c r="W72" s="687"/>
      <c r="X72" s="687"/>
      <c r="Y72" s="686">
        <v>17</v>
      </c>
      <c r="Z72" s="1085">
        <v>1</v>
      </c>
      <c r="AA72" s="1477">
        <v>220</v>
      </c>
      <c r="AB72" s="1477"/>
      <c r="AC72" s="684">
        <v>0</v>
      </c>
      <c r="AD72" s="684">
        <v>0</v>
      </c>
      <c r="AE72" s="684">
        <v>0</v>
      </c>
      <c r="AF72" s="684">
        <v>20</v>
      </c>
      <c r="AG72" s="1477" t="s">
        <v>20</v>
      </c>
      <c r="AH72" s="1477"/>
      <c r="AI72" s="1467" t="str">
        <f t="shared" si="383"/>
        <v xml:space="preserve"> </v>
      </c>
      <c r="AJ72" s="1468"/>
      <c r="AK72" s="707" t="str">
        <f t="shared" si="384"/>
        <v xml:space="preserve"> </v>
      </c>
      <c r="AL72" s="706"/>
      <c r="AM72" s="786" t="str">
        <f t="shared" si="403"/>
        <v xml:space="preserve"> </v>
      </c>
      <c r="AN72" s="785" t="str">
        <f t="shared" si="403"/>
        <v xml:space="preserve"> </v>
      </c>
      <c r="AO72" s="1096"/>
      <c r="AP72" s="889"/>
      <c r="AQ72" s="665"/>
      <c r="AR72" s="665"/>
      <c r="AS72" s="665"/>
      <c r="AT72" s="665"/>
      <c r="AU72" s="665"/>
      <c r="AV72" s="794"/>
      <c r="AW72" s="655"/>
      <c r="AX72" s="78">
        <f t="shared" si="385"/>
        <v>0</v>
      </c>
      <c r="AY72" s="78">
        <f t="shared" si="386"/>
        <v>0</v>
      </c>
      <c r="AZ72" s="78">
        <f t="shared" si="387"/>
        <v>0</v>
      </c>
      <c r="BA72" s="78">
        <f t="shared" si="388"/>
        <v>0</v>
      </c>
      <c r="BB72" s="78">
        <f t="shared" si="389"/>
        <v>0</v>
      </c>
      <c r="BC72" s="78">
        <f t="shared" si="390"/>
        <v>0</v>
      </c>
      <c r="BD72" s="78">
        <f t="shared" si="391"/>
        <v>0</v>
      </c>
      <c r="BE72" s="78">
        <f t="shared" si="392"/>
        <v>0</v>
      </c>
      <c r="BF72" s="78">
        <f t="shared" si="393"/>
        <v>0</v>
      </c>
      <c r="BG72" s="78">
        <f t="shared" si="394"/>
        <v>0</v>
      </c>
      <c r="BH72" s="78">
        <f t="shared" si="395"/>
        <v>0</v>
      </c>
      <c r="BI72" s="78">
        <f t="shared" si="396"/>
        <v>0</v>
      </c>
      <c r="BJ72" s="78">
        <f t="shared" si="397"/>
        <v>0</v>
      </c>
      <c r="BK72" s="78">
        <f t="shared" si="398"/>
        <v>0</v>
      </c>
      <c r="BM72" s="277"/>
      <c r="BN72" s="431" t="s">
        <v>1052</v>
      </c>
      <c r="BO72" s="277"/>
      <c r="BP72" s="701" t="str">
        <f t="shared" si="351"/>
        <v xml:space="preserve"> </v>
      </c>
      <c r="BQ72" s="693" t="e">
        <f>'DEGREE MARK SIMULATOR'!CW72</f>
        <v>#NUM!</v>
      </c>
      <c r="BR72" s="367" t="e">
        <f t="shared" si="361"/>
        <v>#NUM!</v>
      </c>
      <c r="BS72" s="81"/>
      <c r="BX72" s="196" t="str">
        <f t="shared" si="352"/>
        <v xml:space="preserve"> </v>
      </c>
      <c r="BY72" s="81" t="str">
        <f t="shared" si="353"/>
        <v xml:space="preserve"> </v>
      </c>
      <c r="BZ72" s="78">
        <f t="shared" si="362"/>
        <v>1</v>
      </c>
      <c r="CA72" s="165" t="s">
        <v>1052</v>
      </c>
      <c r="CB72" s="132" t="s">
        <v>290</v>
      </c>
      <c r="CC72" s="138" t="s">
        <v>291</v>
      </c>
      <c r="CD72" s="37">
        <v>220</v>
      </c>
      <c r="CE72" s="607">
        <v>20</v>
      </c>
      <c r="CF72" s="35"/>
      <c r="CG72" s="36"/>
      <c r="CH72" s="36"/>
      <c r="CI72" s="37" t="s">
        <v>20</v>
      </c>
      <c r="CJ72" s="598">
        <v>17</v>
      </c>
      <c r="CK72" s="37">
        <v>21</v>
      </c>
      <c r="CL72" s="41" t="s">
        <v>904</v>
      </c>
      <c r="CM72" s="634" t="e">
        <f>HJ58</f>
        <v>#NUM!</v>
      </c>
      <c r="CN72" s="41" t="s">
        <v>903</v>
      </c>
      <c r="CO72" s="634" t="e">
        <f>HI58</f>
        <v>#NUM!</v>
      </c>
      <c r="CR72" s="78" t="e">
        <f>CM72*0.67</f>
        <v>#NUM!</v>
      </c>
      <c r="CS72" s="78" t="e">
        <f>CO72*0.33</f>
        <v>#NUM!</v>
      </c>
      <c r="CT72" s="78" t="str">
        <f t="shared" ref="CT72:CT73" si="406">CI72</f>
        <v>33 - 67</v>
      </c>
      <c r="CW72" s="613" t="e">
        <f t="shared" si="400"/>
        <v>#NUM!</v>
      </c>
      <c r="CX72" s="431" t="s">
        <v>1052</v>
      </c>
      <c r="DS72" s="50"/>
      <c r="DT72" s="50"/>
      <c r="DU72" s="50"/>
      <c r="DV72" s="50"/>
      <c r="DW72" s="50"/>
      <c r="DX72" s="50"/>
      <c r="DY72" s="50"/>
      <c r="DZ72" s="50"/>
      <c r="EA72" s="50"/>
      <c r="EB72" s="50"/>
      <c r="EC72" s="50"/>
      <c r="ED72" s="50"/>
      <c r="EE72" s="50"/>
      <c r="EF72" s="50"/>
      <c r="EG72" s="251"/>
      <c r="EH72" s="50"/>
      <c r="EI72" s="50"/>
      <c r="EJ72" s="50"/>
      <c r="EK72" s="50"/>
      <c r="EL72" s="50"/>
      <c r="EM72" s="50"/>
      <c r="EN72" s="218"/>
      <c r="EO72" s="218"/>
      <c r="IK72" s="81"/>
      <c r="IM72" s="41" t="s">
        <v>14</v>
      </c>
      <c r="IN72" s="447">
        <f>$AG$129</f>
        <v>1</v>
      </c>
      <c r="IO72" s="196" t="str">
        <f t="shared" ref="IO72:IO73" si="407">IF(IN72=2,JT72," ")</f>
        <v xml:space="preserve"> </v>
      </c>
      <c r="IP72" s="342"/>
      <c r="IQ72" s="280">
        <f t="shared" si="156"/>
        <v>0</v>
      </c>
      <c r="IR72" s="1130">
        <f>AF48</f>
        <v>0</v>
      </c>
      <c r="IS72" s="280">
        <f t="shared" si="296"/>
        <v>1</v>
      </c>
      <c r="IT72" s="280">
        <f t="shared" si="297"/>
        <v>0</v>
      </c>
      <c r="IU72" s="280">
        <f t="shared" si="298"/>
        <v>0</v>
      </c>
      <c r="IV72" s="280">
        <f t="shared" si="299"/>
        <v>0</v>
      </c>
      <c r="IW72" s="280">
        <f t="shared" si="300"/>
        <v>0</v>
      </c>
      <c r="IX72" s="280">
        <f t="shared" si="301"/>
        <v>0</v>
      </c>
      <c r="IY72" s="280">
        <f t="shared" si="302"/>
        <v>0</v>
      </c>
      <c r="IZ72" s="280">
        <f t="shared" si="303"/>
        <v>0</v>
      </c>
      <c r="JA72" s="280">
        <f t="shared" si="304"/>
        <v>0</v>
      </c>
      <c r="JB72" s="280">
        <f t="shared" si="305"/>
        <v>0</v>
      </c>
      <c r="JC72" s="280">
        <f t="shared" si="306"/>
        <v>0</v>
      </c>
      <c r="JD72" s="280">
        <f t="shared" si="307"/>
        <v>0</v>
      </c>
      <c r="JE72" s="280">
        <f t="shared" si="308"/>
        <v>0</v>
      </c>
      <c r="JF72" s="280">
        <f t="shared" si="309"/>
        <v>0</v>
      </c>
      <c r="JG72" s="280">
        <f t="shared" si="310"/>
        <v>0</v>
      </c>
      <c r="JH72" s="280">
        <f t="shared" si="311"/>
        <v>0</v>
      </c>
      <c r="JI72" s="280">
        <f t="shared" si="312"/>
        <v>0</v>
      </c>
      <c r="JJ72" s="280">
        <f t="shared" si="313"/>
        <v>0</v>
      </c>
      <c r="JK72" s="280">
        <f t="shared" si="314"/>
        <v>0</v>
      </c>
      <c r="JL72" s="280">
        <f t="shared" si="315"/>
        <v>0</v>
      </c>
      <c r="JM72" s="280">
        <f t="shared" si="316"/>
        <v>0</v>
      </c>
      <c r="JN72" s="280">
        <f t="shared" si="317"/>
        <v>0</v>
      </c>
      <c r="JO72" s="280">
        <f t="shared" si="318"/>
        <v>0</v>
      </c>
      <c r="JP72" s="280">
        <f t="shared" si="319"/>
        <v>0</v>
      </c>
      <c r="JQ72" s="280">
        <f t="shared" si="320"/>
        <v>0</v>
      </c>
      <c r="JR72" s="280">
        <f t="shared" si="321"/>
        <v>0</v>
      </c>
      <c r="JS72" s="44">
        <f t="shared" si="157"/>
        <v>1</v>
      </c>
      <c r="JT72" s="343" t="str">
        <f t="shared" si="158"/>
        <v>F</v>
      </c>
      <c r="JU72" s="44"/>
      <c r="JV72" s="280">
        <f t="shared" si="322"/>
        <v>1</v>
      </c>
      <c r="JW72" s="280">
        <f t="shared" si="323"/>
        <v>0</v>
      </c>
      <c r="JX72" s="280">
        <f t="shared" si="324"/>
        <v>0</v>
      </c>
      <c r="JY72" s="280">
        <f t="shared" si="325"/>
        <v>0</v>
      </c>
      <c r="JZ72" s="280">
        <f t="shared" si="326"/>
        <v>0</v>
      </c>
      <c r="KA72" s="280">
        <f t="shared" si="327"/>
        <v>0</v>
      </c>
      <c r="KB72" s="44">
        <f t="shared" si="160"/>
        <v>1</v>
      </c>
      <c r="KC72" s="1131" t="str">
        <f t="shared" si="161"/>
        <v>F</v>
      </c>
      <c r="KE72" s="280"/>
      <c r="KF72" s="280"/>
      <c r="KG72" s="280"/>
      <c r="KM72" s="218"/>
      <c r="KN72" s="444"/>
      <c r="KO72" s="444"/>
      <c r="KP72" s="218"/>
      <c r="KQ72" s="218"/>
      <c r="NY72" s="544"/>
    </row>
    <row r="73" spans="1:389" ht="16.149999999999999" customHeight="1" x14ac:dyDescent="0.25">
      <c r="A73" s="431" t="str">
        <f t="shared" si="367"/>
        <v>Oxford Brookes</v>
      </c>
      <c r="B73" s="1092">
        <f t="shared" si="368"/>
        <v>0</v>
      </c>
      <c r="C73" s="1092">
        <f t="shared" si="369"/>
        <v>0</v>
      </c>
      <c r="D73" s="1092">
        <f t="shared" si="370"/>
        <v>0</v>
      </c>
      <c r="E73" s="1092">
        <f t="shared" si="371"/>
        <v>0</v>
      </c>
      <c r="F73" s="1092">
        <f t="shared" si="372"/>
        <v>0</v>
      </c>
      <c r="G73" s="280">
        <f t="shared" si="373"/>
        <v>0</v>
      </c>
      <c r="H73" s="280">
        <f t="shared" si="374"/>
        <v>0</v>
      </c>
      <c r="I73" s="280">
        <f t="shared" si="375"/>
        <v>0</v>
      </c>
      <c r="J73" s="280">
        <f t="shared" si="376"/>
        <v>0</v>
      </c>
      <c r="K73" s="280">
        <f t="shared" si="377"/>
        <v>0</v>
      </c>
      <c r="L73" s="381">
        <f t="shared" si="378"/>
        <v>0</v>
      </c>
      <c r="M73" s="381">
        <f t="shared" si="379"/>
        <v>0</v>
      </c>
      <c r="N73" s="381">
        <f t="shared" si="380"/>
        <v>0</v>
      </c>
      <c r="O73" s="381">
        <f t="shared" si="381"/>
        <v>0</v>
      </c>
      <c r="P73" s="381">
        <f t="shared" si="382"/>
        <v>0</v>
      </c>
      <c r="Q73" s="220"/>
      <c r="R73" s="1090">
        <v>1</v>
      </c>
      <c r="S73" s="657"/>
      <c r="T73" s="1531"/>
      <c r="U73" s="431" t="s">
        <v>1050</v>
      </c>
      <c r="V73" s="687"/>
      <c r="W73" s="687"/>
      <c r="X73" s="687"/>
      <c r="Y73" s="686">
        <v>18</v>
      </c>
      <c r="Z73" s="1085">
        <v>1</v>
      </c>
      <c r="AA73" s="1477">
        <v>210</v>
      </c>
      <c r="AB73" s="1477"/>
      <c r="AC73" s="684">
        <v>0</v>
      </c>
      <c r="AD73" s="684">
        <v>0</v>
      </c>
      <c r="AE73" s="684">
        <v>0</v>
      </c>
      <c r="AF73" s="684">
        <v>30</v>
      </c>
      <c r="AG73" s="1477" t="s">
        <v>16</v>
      </c>
      <c r="AH73" s="1477"/>
      <c r="AI73" s="1467" t="str">
        <f t="shared" si="383"/>
        <v xml:space="preserve"> </v>
      </c>
      <c r="AJ73" s="1468"/>
      <c r="AK73" s="707" t="str">
        <f t="shared" si="384"/>
        <v xml:space="preserve"> </v>
      </c>
      <c r="AL73" s="1481" t="str">
        <f>IN131</f>
        <v xml:space="preserve"> </v>
      </c>
      <c r="AM73" s="1482"/>
      <c r="AN73" s="40" t="str">
        <f>IO131</f>
        <v xml:space="preserve"> </v>
      </c>
      <c r="AO73" s="1096"/>
      <c r="AP73" s="889"/>
      <c r="AQ73" s="665"/>
      <c r="AR73" s="665"/>
      <c r="AS73" s="665"/>
      <c r="AT73" s="665"/>
      <c r="AU73" s="665"/>
      <c r="AV73" s="667"/>
      <c r="AW73" s="655"/>
      <c r="AX73" s="78">
        <f t="shared" si="385"/>
        <v>0</v>
      </c>
      <c r="AY73" s="78">
        <f t="shared" si="386"/>
        <v>0</v>
      </c>
      <c r="AZ73" s="78">
        <f t="shared" si="387"/>
        <v>0</v>
      </c>
      <c r="BA73" s="78">
        <f t="shared" si="388"/>
        <v>0</v>
      </c>
      <c r="BB73" s="78">
        <f t="shared" si="389"/>
        <v>0</v>
      </c>
      <c r="BC73" s="78">
        <f t="shared" si="390"/>
        <v>0</v>
      </c>
      <c r="BD73" s="78">
        <f t="shared" si="391"/>
        <v>0</v>
      </c>
      <c r="BE73" s="78">
        <f t="shared" si="392"/>
        <v>0</v>
      </c>
      <c r="BF73" s="78">
        <f t="shared" si="393"/>
        <v>0</v>
      </c>
      <c r="BG73" s="78">
        <f t="shared" si="394"/>
        <v>0</v>
      </c>
      <c r="BH73" s="78">
        <f t="shared" si="395"/>
        <v>0</v>
      </c>
      <c r="BI73" s="78">
        <f t="shared" si="396"/>
        <v>0</v>
      </c>
      <c r="BJ73" s="78">
        <f t="shared" si="397"/>
        <v>0</v>
      </c>
      <c r="BK73" s="78">
        <f t="shared" si="398"/>
        <v>0</v>
      </c>
      <c r="BM73" s="277"/>
      <c r="BN73" s="431" t="s">
        <v>1050</v>
      </c>
      <c r="BO73" s="277"/>
      <c r="BP73" s="701" t="str">
        <f t="shared" si="351"/>
        <v xml:space="preserve"> </v>
      </c>
      <c r="BQ73" s="693" t="e">
        <f>'DEGREE MARK SIMULATOR'!CW73</f>
        <v>#NUM!</v>
      </c>
      <c r="BR73" s="367" t="e">
        <f t="shared" si="361"/>
        <v>#NUM!</v>
      </c>
      <c r="BS73" s="81"/>
      <c r="BU73" s="282"/>
      <c r="BX73" s="196" t="str">
        <f t="shared" si="352"/>
        <v xml:space="preserve"> </v>
      </c>
      <c r="BY73" s="81" t="str">
        <f t="shared" si="353"/>
        <v xml:space="preserve"> </v>
      </c>
      <c r="BZ73" s="78">
        <f t="shared" si="362"/>
        <v>1</v>
      </c>
      <c r="CA73" s="165" t="s">
        <v>1050</v>
      </c>
      <c r="CB73" s="132" t="s">
        <v>664</v>
      </c>
      <c r="CC73" s="630" t="s">
        <v>921</v>
      </c>
      <c r="CD73" s="37">
        <v>210</v>
      </c>
      <c r="CE73" s="607">
        <v>30</v>
      </c>
      <c r="CF73" s="35"/>
      <c r="CG73" s="36"/>
      <c r="CH73" s="36"/>
      <c r="CI73" s="37" t="s">
        <v>16</v>
      </c>
      <c r="CJ73" s="598">
        <v>18</v>
      </c>
      <c r="CK73" s="37">
        <v>22</v>
      </c>
      <c r="CL73" s="41" t="s">
        <v>904</v>
      </c>
      <c r="CM73" s="644" t="e">
        <f>HW58</f>
        <v>#NUM!</v>
      </c>
      <c r="CN73" s="41" t="s">
        <v>903</v>
      </c>
      <c r="CO73" s="644" t="e">
        <f>HX58</f>
        <v>#NUM!</v>
      </c>
      <c r="CR73" s="78" t="e">
        <f>CM73*0.5</f>
        <v>#NUM!</v>
      </c>
      <c r="CS73" s="78" t="e">
        <f>CO73*0.5</f>
        <v>#NUM!</v>
      </c>
      <c r="CT73" s="78" t="str">
        <f t="shared" si="406"/>
        <v>50 - 50</v>
      </c>
      <c r="CW73" s="613" t="e">
        <f t="shared" si="400"/>
        <v>#NUM!</v>
      </c>
      <c r="CX73" s="431" t="s">
        <v>1050</v>
      </c>
      <c r="IK73" s="81"/>
      <c r="IM73" s="41" t="s">
        <v>15</v>
      </c>
      <c r="IN73" s="449">
        <f>$AN$129</f>
        <v>1</v>
      </c>
      <c r="IO73" s="196" t="str">
        <f t="shared" si="407"/>
        <v xml:space="preserve"> </v>
      </c>
      <c r="IP73" s="342"/>
      <c r="IQ73" s="280">
        <f t="shared" si="156"/>
        <v>0</v>
      </c>
      <c r="IR73" s="1130">
        <f>AM48</f>
        <v>0</v>
      </c>
      <c r="IS73" s="280">
        <f t="shared" si="296"/>
        <v>1</v>
      </c>
      <c r="IT73" s="280">
        <f t="shared" si="297"/>
        <v>0</v>
      </c>
      <c r="IU73" s="280">
        <f t="shared" si="298"/>
        <v>0</v>
      </c>
      <c r="IV73" s="280">
        <f t="shared" si="299"/>
        <v>0</v>
      </c>
      <c r="IW73" s="280">
        <f t="shared" si="300"/>
        <v>0</v>
      </c>
      <c r="IX73" s="280">
        <f t="shared" si="301"/>
        <v>0</v>
      </c>
      <c r="IY73" s="280">
        <f t="shared" si="302"/>
        <v>0</v>
      </c>
      <c r="IZ73" s="280">
        <f t="shared" si="303"/>
        <v>0</v>
      </c>
      <c r="JA73" s="280">
        <f t="shared" si="304"/>
        <v>0</v>
      </c>
      <c r="JB73" s="280">
        <f t="shared" si="305"/>
        <v>0</v>
      </c>
      <c r="JC73" s="280">
        <f t="shared" si="306"/>
        <v>0</v>
      </c>
      <c r="JD73" s="280">
        <f t="shared" si="307"/>
        <v>0</v>
      </c>
      <c r="JE73" s="280">
        <f t="shared" si="308"/>
        <v>0</v>
      </c>
      <c r="JF73" s="280">
        <f t="shared" si="309"/>
        <v>0</v>
      </c>
      <c r="JG73" s="280">
        <f t="shared" si="310"/>
        <v>0</v>
      </c>
      <c r="JH73" s="280">
        <f t="shared" si="311"/>
        <v>0</v>
      </c>
      <c r="JI73" s="280">
        <f t="shared" si="312"/>
        <v>0</v>
      </c>
      <c r="JJ73" s="280">
        <f t="shared" si="313"/>
        <v>0</v>
      </c>
      <c r="JK73" s="280">
        <f t="shared" si="314"/>
        <v>0</v>
      </c>
      <c r="JL73" s="280">
        <f t="shared" si="315"/>
        <v>0</v>
      </c>
      <c r="JM73" s="280">
        <f t="shared" si="316"/>
        <v>0</v>
      </c>
      <c r="JN73" s="280">
        <f t="shared" si="317"/>
        <v>0</v>
      </c>
      <c r="JO73" s="280">
        <f t="shared" si="318"/>
        <v>0</v>
      </c>
      <c r="JP73" s="280">
        <f t="shared" si="319"/>
        <v>0</v>
      </c>
      <c r="JQ73" s="280">
        <f t="shared" si="320"/>
        <v>0</v>
      </c>
      <c r="JR73" s="280">
        <f t="shared" si="321"/>
        <v>0</v>
      </c>
      <c r="JS73" s="44">
        <f t="shared" si="157"/>
        <v>1</v>
      </c>
      <c r="JT73" s="343" t="str">
        <f t="shared" si="158"/>
        <v>F</v>
      </c>
      <c r="JU73" s="44"/>
      <c r="JV73" s="280">
        <f t="shared" si="322"/>
        <v>1</v>
      </c>
      <c r="JW73" s="280">
        <f t="shared" si="323"/>
        <v>0</v>
      </c>
      <c r="JX73" s="280">
        <f t="shared" si="324"/>
        <v>0</v>
      </c>
      <c r="JY73" s="280">
        <f t="shared" si="325"/>
        <v>0</v>
      </c>
      <c r="JZ73" s="280">
        <f t="shared" si="326"/>
        <v>0</v>
      </c>
      <c r="KA73" s="280">
        <f t="shared" si="327"/>
        <v>0</v>
      </c>
      <c r="KB73" s="44">
        <f t="shared" si="160"/>
        <v>1</v>
      </c>
      <c r="KC73" s="1131" t="str">
        <f t="shared" si="161"/>
        <v>F</v>
      </c>
      <c r="KE73" s="280"/>
      <c r="KF73" s="280"/>
      <c r="KG73" s="280"/>
      <c r="KM73" s="218"/>
      <c r="KN73" s="444"/>
      <c r="KO73" s="444"/>
      <c r="KP73" s="218"/>
      <c r="KQ73" s="218"/>
      <c r="NY73" s="544"/>
    </row>
    <row r="74" spans="1:389" ht="16.149999999999999" customHeight="1" thickBot="1" x14ac:dyDescent="0.3">
      <c r="A74" s="431" t="str">
        <f t="shared" si="367"/>
        <v>Winchester</v>
      </c>
      <c r="B74" s="1092">
        <f t="shared" si="368"/>
        <v>0</v>
      </c>
      <c r="C74" s="1092">
        <f t="shared" si="369"/>
        <v>0</v>
      </c>
      <c r="D74" s="1092">
        <f t="shared" si="370"/>
        <v>0</v>
      </c>
      <c r="E74" s="1092">
        <f t="shared" si="371"/>
        <v>0</v>
      </c>
      <c r="F74" s="1092">
        <f t="shared" si="372"/>
        <v>0</v>
      </c>
      <c r="G74" s="280">
        <f t="shared" si="373"/>
        <v>0</v>
      </c>
      <c r="H74" s="280">
        <f t="shared" si="374"/>
        <v>0</v>
      </c>
      <c r="I74" s="280">
        <f t="shared" si="375"/>
        <v>0</v>
      </c>
      <c r="J74" s="280">
        <f t="shared" si="376"/>
        <v>0</v>
      </c>
      <c r="K74" s="280">
        <f t="shared" si="377"/>
        <v>0</v>
      </c>
      <c r="L74" s="381">
        <f t="shared" si="378"/>
        <v>0</v>
      </c>
      <c r="M74" s="381">
        <f t="shared" si="379"/>
        <v>0</v>
      </c>
      <c r="N74" s="381">
        <f t="shared" si="380"/>
        <v>0</v>
      </c>
      <c r="O74" s="381">
        <f t="shared" si="381"/>
        <v>0</v>
      </c>
      <c r="P74" s="381">
        <f t="shared" si="382"/>
        <v>0</v>
      </c>
      <c r="Q74" s="220"/>
      <c r="R74" s="1090">
        <v>1</v>
      </c>
      <c r="S74" s="657"/>
      <c r="T74" s="1531"/>
      <c r="U74" s="431" t="s">
        <v>141</v>
      </c>
      <c r="V74" s="687"/>
      <c r="W74" s="687"/>
      <c r="X74" s="687"/>
      <c r="Y74" s="685">
        <v>19</v>
      </c>
      <c r="Z74" s="1084">
        <v>1</v>
      </c>
      <c r="AA74" s="1477">
        <v>240</v>
      </c>
      <c r="AB74" s="1477"/>
      <c r="AC74" s="684">
        <v>0</v>
      </c>
      <c r="AD74" s="684">
        <v>0</v>
      </c>
      <c r="AE74" s="684">
        <v>30</v>
      </c>
      <c r="AF74" s="684">
        <v>30</v>
      </c>
      <c r="AG74" s="1466" t="s">
        <v>1128</v>
      </c>
      <c r="AH74" s="1466"/>
      <c r="AI74" s="1467" t="str">
        <f t="shared" si="383"/>
        <v xml:space="preserve"> </v>
      </c>
      <c r="AJ74" s="1468"/>
      <c r="AK74" s="707" t="str">
        <f t="shared" si="384"/>
        <v xml:space="preserve"> </v>
      </c>
      <c r="AL74" s="706"/>
      <c r="AM74" s="706"/>
      <c r="AN74" s="706"/>
      <c r="AO74" s="1096"/>
      <c r="AP74" s="889"/>
      <c r="AQ74" s="665"/>
      <c r="AR74" s="665"/>
      <c r="AS74" s="665"/>
      <c r="AT74" s="665"/>
      <c r="AU74" s="665"/>
      <c r="AV74" s="667"/>
      <c r="AW74" s="655"/>
      <c r="AX74" s="78">
        <f t="shared" si="385"/>
        <v>0</v>
      </c>
      <c r="AY74" s="78">
        <f t="shared" si="386"/>
        <v>0</v>
      </c>
      <c r="AZ74" s="78">
        <f t="shared" si="387"/>
        <v>0</v>
      </c>
      <c r="BA74" s="78">
        <f t="shared" si="388"/>
        <v>0</v>
      </c>
      <c r="BB74" s="78">
        <f t="shared" si="389"/>
        <v>0</v>
      </c>
      <c r="BC74" s="78">
        <f t="shared" si="390"/>
        <v>0</v>
      </c>
      <c r="BD74" s="78">
        <f t="shared" si="391"/>
        <v>0</v>
      </c>
      <c r="BE74" s="78">
        <f t="shared" si="392"/>
        <v>0</v>
      </c>
      <c r="BF74" s="78">
        <f t="shared" si="393"/>
        <v>0</v>
      </c>
      <c r="BG74" s="78">
        <f t="shared" si="394"/>
        <v>0</v>
      </c>
      <c r="BH74" s="78">
        <f t="shared" si="395"/>
        <v>0</v>
      </c>
      <c r="BI74" s="78">
        <f t="shared" si="396"/>
        <v>0</v>
      </c>
      <c r="BJ74" s="78">
        <f t="shared" si="397"/>
        <v>0</v>
      </c>
      <c r="BK74" s="78">
        <f t="shared" si="398"/>
        <v>0</v>
      </c>
      <c r="BM74" s="450"/>
      <c r="BN74" s="431" t="s">
        <v>141</v>
      </c>
      <c r="BO74" s="277"/>
      <c r="BP74" s="701" t="str">
        <f t="shared" si="351"/>
        <v xml:space="preserve"> </v>
      </c>
      <c r="BQ74" s="693" t="e">
        <f>'DEGREE MARK SIMULATOR'!CW74</f>
        <v>#NUM!</v>
      </c>
      <c r="BR74" s="367" t="e">
        <f t="shared" si="361"/>
        <v>#NUM!</v>
      </c>
      <c r="BS74" s="81"/>
      <c r="BU74" s="282"/>
      <c r="BX74" s="196" t="str">
        <f t="shared" si="352"/>
        <v xml:space="preserve"> </v>
      </c>
      <c r="BY74" s="81" t="str">
        <f t="shared" si="353"/>
        <v xml:space="preserve"> </v>
      </c>
      <c r="BZ74" s="78">
        <f t="shared" si="362"/>
        <v>1</v>
      </c>
      <c r="CA74" s="55" t="s">
        <v>141</v>
      </c>
      <c r="CB74" s="132" t="s">
        <v>621</v>
      </c>
      <c r="CC74" s="138" t="s">
        <v>706</v>
      </c>
      <c r="CD74" s="37">
        <v>240</v>
      </c>
      <c r="CE74" s="35">
        <v>30</v>
      </c>
      <c r="CF74" s="35"/>
      <c r="CG74" s="36"/>
      <c r="CH74" s="36">
        <v>30</v>
      </c>
      <c r="CI74" s="614" t="s">
        <v>17</v>
      </c>
      <c r="CJ74" s="175">
        <v>19</v>
      </c>
      <c r="CK74" s="175">
        <v>23</v>
      </c>
      <c r="CL74" s="41" t="s">
        <v>904</v>
      </c>
      <c r="CM74" s="609" t="e">
        <f>$HR$49</f>
        <v>#NUM!</v>
      </c>
      <c r="CN74" s="41" t="s">
        <v>914</v>
      </c>
      <c r="CO74" s="612" t="e">
        <f>$EY$49</f>
        <v>#NUM!</v>
      </c>
      <c r="CR74" s="78" t="e">
        <f>CM74*0.6</f>
        <v>#NUM!</v>
      </c>
      <c r="CS74" s="78" t="e">
        <f>CO74*0.4</f>
        <v>#NUM!</v>
      </c>
      <c r="CT74" s="41" t="s">
        <v>937</v>
      </c>
      <c r="CW74" s="613" t="e">
        <f t="shared" si="400"/>
        <v>#NUM!</v>
      </c>
      <c r="CX74" s="431" t="s">
        <v>141</v>
      </c>
      <c r="IK74" s="81"/>
      <c r="IM74" s="81"/>
      <c r="IN74" s="451">
        <f>AP128</f>
        <v>3</v>
      </c>
      <c r="IO74" s="196" t="str">
        <f>IF(IN74=6,JT74," ")</f>
        <v xml:space="preserve"> </v>
      </c>
      <c r="IP74" s="446" t="str">
        <f>IF(IQ74=1,"",IO74)</f>
        <v/>
      </c>
      <c r="IQ74" s="280">
        <f t="shared" si="156"/>
        <v>1</v>
      </c>
      <c r="IR74" s="1132" t="str">
        <f>$AM$147</f>
        <v xml:space="preserve"> </v>
      </c>
      <c r="IS74" s="1133">
        <f t="shared" si="296"/>
        <v>0</v>
      </c>
      <c r="IT74" s="1133">
        <f t="shared" si="297"/>
        <v>0</v>
      </c>
      <c r="IU74" s="1133">
        <f t="shared" si="298"/>
        <v>0</v>
      </c>
      <c r="IV74" s="1133">
        <f t="shared" si="299"/>
        <v>0</v>
      </c>
      <c r="IW74" s="1133">
        <f t="shared" si="300"/>
        <v>0</v>
      </c>
      <c r="IX74" s="1133">
        <f t="shared" si="301"/>
        <v>0</v>
      </c>
      <c r="IY74" s="1133">
        <f t="shared" si="302"/>
        <v>0</v>
      </c>
      <c r="IZ74" s="1133">
        <f t="shared" si="303"/>
        <v>0</v>
      </c>
      <c r="JA74" s="1133">
        <f t="shared" si="304"/>
        <v>0</v>
      </c>
      <c r="JB74" s="1133">
        <f t="shared" si="305"/>
        <v>0</v>
      </c>
      <c r="JC74" s="1133">
        <f t="shared" si="306"/>
        <v>0</v>
      </c>
      <c r="JD74" s="1133">
        <f t="shared" si="307"/>
        <v>0</v>
      </c>
      <c r="JE74" s="1133">
        <f t="shared" si="308"/>
        <v>0</v>
      </c>
      <c r="JF74" s="1133">
        <f t="shared" si="309"/>
        <v>0</v>
      </c>
      <c r="JG74" s="1133">
        <f t="shared" si="310"/>
        <v>0</v>
      </c>
      <c r="JH74" s="1133">
        <f t="shared" si="311"/>
        <v>0</v>
      </c>
      <c r="JI74" s="1133">
        <f t="shared" si="312"/>
        <v>0</v>
      </c>
      <c r="JJ74" s="1133">
        <f t="shared" si="313"/>
        <v>0</v>
      </c>
      <c r="JK74" s="1133">
        <f t="shared" si="314"/>
        <v>0</v>
      </c>
      <c r="JL74" s="1133">
        <f t="shared" si="315"/>
        <v>0</v>
      </c>
      <c r="JM74" s="1133">
        <f t="shared" si="316"/>
        <v>0</v>
      </c>
      <c r="JN74" s="1133">
        <f t="shared" si="317"/>
        <v>0</v>
      </c>
      <c r="JO74" s="1133">
        <f t="shared" si="318"/>
        <v>0</v>
      </c>
      <c r="JP74" s="1133">
        <f t="shared" si="319"/>
        <v>0</v>
      </c>
      <c r="JQ74" s="1133">
        <f t="shared" si="320"/>
        <v>0</v>
      </c>
      <c r="JR74" s="1133">
        <f t="shared" si="321"/>
        <v>0</v>
      </c>
      <c r="JS74" s="1134">
        <f t="shared" ref="JS74" si="408">SUM(IS74:JR74)</f>
        <v>0</v>
      </c>
      <c r="JT74" s="1135" t="e">
        <f t="shared" si="158"/>
        <v>#N/A</v>
      </c>
      <c r="JU74" s="1136"/>
      <c r="JV74" s="1133">
        <f t="shared" si="322"/>
        <v>0</v>
      </c>
      <c r="JW74" s="1133">
        <f t="shared" si="323"/>
        <v>0</v>
      </c>
      <c r="JX74" s="1133">
        <f t="shared" si="324"/>
        <v>0</v>
      </c>
      <c r="JY74" s="1133">
        <f t="shared" si="325"/>
        <v>0</v>
      </c>
      <c r="JZ74" s="1133">
        <f t="shared" si="326"/>
        <v>0</v>
      </c>
      <c r="KA74" s="1133">
        <f t="shared" si="327"/>
        <v>0</v>
      </c>
      <c r="KB74" s="1134">
        <f t="shared" ref="KB74" si="409">SUM(JV74:KA74)</f>
        <v>0</v>
      </c>
      <c r="KC74" s="1137" t="e">
        <f t="shared" si="161"/>
        <v>#N/A</v>
      </c>
      <c r="KE74" s="280"/>
      <c r="KF74" s="280"/>
      <c r="KG74" s="280"/>
      <c r="KM74" s="401"/>
      <c r="KN74" s="444"/>
      <c r="KO74" s="444"/>
      <c r="KP74" s="218"/>
      <c r="KQ74" s="218"/>
      <c r="NY74" s="544"/>
    </row>
    <row r="75" spans="1:389" ht="16.149999999999999" customHeight="1" x14ac:dyDescent="0.25">
      <c r="A75" s="431" t="str">
        <f t="shared" si="367"/>
        <v>De Montfort</v>
      </c>
      <c r="B75" s="1092">
        <f t="shared" si="368"/>
        <v>0</v>
      </c>
      <c r="C75" s="1092">
        <f t="shared" si="369"/>
        <v>0</v>
      </c>
      <c r="D75" s="1092">
        <f t="shared" si="370"/>
        <v>0</v>
      </c>
      <c r="E75" s="1092">
        <f t="shared" si="371"/>
        <v>0</v>
      </c>
      <c r="F75" s="1092">
        <f t="shared" si="372"/>
        <v>0</v>
      </c>
      <c r="G75" s="280">
        <f t="shared" si="373"/>
        <v>0</v>
      </c>
      <c r="H75" s="280">
        <f t="shared" si="374"/>
        <v>0</v>
      </c>
      <c r="I75" s="280">
        <f t="shared" si="375"/>
        <v>0</v>
      </c>
      <c r="J75" s="280">
        <f t="shared" si="376"/>
        <v>0</v>
      </c>
      <c r="K75" s="280">
        <f t="shared" si="377"/>
        <v>0</v>
      </c>
      <c r="L75" s="381">
        <f t="shared" si="378"/>
        <v>0</v>
      </c>
      <c r="M75" s="381">
        <f t="shared" si="379"/>
        <v>0</v>
      </c>
      <c r="N75" s="381">
        <f t="shared" si="380"/>
        <v>0</v>
      </c>
      <c r="O75" s="381">
        <f t="shared" si="381"/>
        <v>0</v>
      </c>
      <c r="P75" s="381">
        <f t="shared" si="382"/>
        <v>0</v>
      </c>
      <c r="Q75" s="220"/>
      <c r="R75" s="1090">
        <v>1</v>
      </c>
      <c r="S75" s="657"/>
      <c r="T75" s="1531"/>
      <c r="U75" s="431" t="s">
        <v>295</v>
      </c>
      <c r="V75" s="687"/>
      <c r="W75" s="687"/>
      <c r="X75" s="687"/>
      <c r="Y75" s="686">
        <v>20</v>
      </c>
      <c r="Z75" s="1085">
        <v>1</v>
      </c>
      <c r="AA75" s="1477">
        <v>210</v>
      </c>
      <c r="AB75" s="1477"/>
      <c r="AC75" s="684">
        <v>0</v>
      </c>
      <c r="AD75" s="684">
        <v>15</v>
      </c>
      <c r="AE75" s="684">
        <v>15</v>
      </c>
      <c r="AF75" s="684">
        <v>30</v>
      </c>
      <c r="AG75" s="1477" t="s">
        <v>23</v>
      </c>
      <c r="AH75" s="1477"/>
      <c r="AI75" s="1467" t="str">
        <f t="shared" si="383"/>
        <v xml:space="preserve"> </v>
      </c>
      <c r="AJ75" s="1468"/>
      <c r="AK75" s="707" t="str">
        <f t="shared" si="384"/>
        <v xml:space="preserve"> </v>
      </c>
      <c r="AL75" s="706"/>
      <c r="AM75" s="706"/>
      <c r="AN75" s="706"/>
      <c r="AO75" s="1096"/>
      <c r="AP75" s="889"/>
      <c r="AQ75" s="665"/>
      <c r="AR75" s="665"/>
      <c r="AS75" s="665"/>
      <c r="AT75" s="665"/>
      <c r="AU75" s="665"/>
      <c r="AV75" s="667"/>
      <c r="AW75" s="655"/>
      <c r="AX75" s="441"/>
      <c r="AY75" s="441"/>
      <c r="AZ75" s="441"/>
      <c r="BA75" s="441"/>
      <c r="BB75" s="441"/>
      <c r="BC75" s="441"/>
      <c r="BD75" s="441"/>
      <c r="BE75" s="441"/>
      <c r="BF75" s="441"/>
      <c r="BG75" s="441"/>
      <c r="BH75" s="441"/>
      <c r="BI75" s="441"/>
      <c r="BJ75" s="450"/>
      <c r="BK75" s="450"/>
      <c r="BL75" s="450"/>
      <c r="BM75" s="450"/>
      <c r="BN75" s="431" t="s">
        <v>295</v>
      </c>
      <c r="BO75" s="277"/>
      <c r="BP75" s="701" t="str">
        <f t="shared" si="351"/>
        <v xml:space="preserve"> </v>
      </c>
      <c r="BQ75" s="693" t="e">
        <f>'DEGREE MARK SIMULATOR'!CW75</f>
        <v>#NUM!</v>
      </c>
      <c r="BR75" s="367" t="e">
        <f t="shared" si="361"/>
        <v>#NUM!</v>
      </c>
      <c r="BS75" s="81"/>
      <c r="BX75" s="196" t="str">
        <f t="shared" si="352"/>
        <v xml:space="preserve"> </v>
      </c>
      <c r="BY75" s="81" t="str">
        <f t="shared" si="353"/>
        <v xml:space="preserve"> </v>
      </c>
      <c r="BZ75" s="78">
        <f t="shared" si="362"/>
        <v>1</v>
      </c>
      <c r="CA75" s="55" t="s">
        <v>295</v>
      </c>
      <c r="CB75" s="132" t="s">
        <v>297</v>
      </c>
      <c r="CC75" s="138" t="s">
        <v>298</v>
      </c>
      <c r="CD75" s="37">
        <v>210</v>
      </c>
      <c r="CE75" s="35">
        <v>30</v>
      </c>
      <c r="CF75" s="35"/>
      <c r="CG75" s="36">
        <v>15</v>
      </c>
      <c r="CH75" s="36">
        <v>15</v>
      </c>
      <c r="CI75" s="37" t="s">
        <v>23</v>
      </c>
      <c r="CJ75" s="598">
        <v>20</v>
      </c>
      <c r="CK75" s="37">
        <v>24</v>
      </c>
      <c r="CL75" s="41" t="s">
        <v>912</v>
      </c>
      <c r="CM75" s="609" t="e">
        <f>$HD$49</f>
        <v>#NUM!</v>
      </c>
      <c r="CN75" s="41" t="s">
        <v>913</v>
      </c>
      <c r="CO75" s="582" t="e">
        <f>$EK$49</f>
        <v>#NUM!</v>
      </c>
      <c r="CR75" s="78" t="e">
        <f>CM75*0.75</f>
        <v>#NUM!</v>
      </c>
      <c r="CS75" s="78" t="e">
        <f>CO75*0.25</f>
        <v>#NUM!</v>
      </c>
      <c r="CT75" s="78" t="str">
        <f>CI75</f>
        <v>25 - 75</v>
      </c>
      <c r="CW75" s="613" t="e">
        <f t="shared" ref="CW75:CW96" si="410">CR75+CS75</f>
        <v>#NUM!</v>
      </c>
      <c r="CX75" s="431" t="s">
        <v>295</v>
      </c>
      <c r="IK75" s="81"/>
      <c r="IL75" s="81"/>
      <c r="IM75" s="690" t="s">
        <v>945</v>
      </c>
      <c r="IS75" s="455"/>
      <c r="IT75" s="455"/>
      <c r="IU75" s="455"/>
      <c r="IV75" s="455"/>
      <c r="IW75" s="455"/>
      <c r="IX75" s="455"/>
      <c r="IY75" s="455"/>
      <c r="IZ75" s="455"/>
      <c r="JA75" s="455"/>
      <c r="JB75" s="455"/>
      <c r="JC75" s="455"/>
      <c r="JD75" s="455"/>
      <c r="JE75" s="455"/>
      <c r="JF75" s="455"/>
      <c r="JG75" s="455"/>
      <c r="JH75" s="455"/>
      <c r="JI75" s="455"/>
      <c r="JJ75" s="455"/>
      <c r="JK75" s="455"/>
      <c r="JL75" s="455"/>
      <c r="JM75" s="455"/>
      <c r="JN75" s="455"/>
      <c r="JO75" s="455"/>
      <c r="JP75" s="455"/>
      <c r="JQ75" s="455"/>
      <c r="JR75" s="455"/>
      <c r="JS75" s="455"/>
      <c r="JT75" s="455"/>
      <c r="JU75" s="455"/>
      <c r="JV75" s="280" t="s">
        <v>568</v>
      </c>
      <c r="JW75" s="44" t="s">
        <v>801</v>
      </c>
      <c r="JX75" s="310" t="s">
        <v>802</v>
      </c>
      <c r="JY75" s="310" t="s">
        <v>803</v>
      </c>
      <c r="JZ75" s="310" t="s">
        <v>781</v>
      </c>
      <c r="KA75" s="44" t="s">
        <v>804</v>
      </c>
      <c r="KB75" s="455"/>
      <c r="KC75" s="455"/>
      <c r="KD75" s="455"/>
      <c r="KE75" s="455"/>
      <c r="KF75" s="456"/>
      <c r="KG75" s="456"/>
      <c r="KH75" s="456"/>
      <c r="KK75" s="60"/>
      <c r="KL75" s="218"/>
      <c r="KM75" s="444"/>
      <c r="KN75" s="444"/>
      <c r="KO75" s="218"/>
      <c r="KP75" s="218"/>
      <c r="KU75" s="60"/>
      <c r="NY75" s="544"/>
    </row>
    <row r="76" spans="1:389" ht="16.149999999999999" customHeight="1" x14ac:dyDescent="0.25">
      <c r="A76" s="431" t="str">
        <f t="shared" si="367"/>
        <v>Greenwich</v>
      </c>
      <c r="B76" s="1092">
        <f t="shared" si="368"/>
        <v>0</v>
      </c>
      <c r="C76" s="1092">
        <f t="shared" si="369"/>
        <v>0</v>
      </c>
      <c r="D76" s="1092">
        <f t="shared" si="370"/>
        <v>0</v>
      </c>
      <c r="E76" s="1092">
        <f t="shared" si="371"/>
        <v>0</v>
      </c>
      <c r="F76" s="1092">
        <f t="shared" si="372"/>
        <v>0</v>
      </c>
      <c r="G76" s="280">
        <f t="shared" si="373"/>
        <v>0</v>
      </c>
      <c r="H76" s="280">
        <f t="shared" si="374"/>
        <v>0</v>
      </c>
      <c r="I76" s="280">
        <f t="shared" si="375"/>
        <v>0</v>
      </c>
      <c r="J76" s="280">
        <f t="shared" si="376"/>
        <v>0</v>
      </c>
      <c r="K76" s="280">
        <f t="shared" si="377"/>
        <v>0</v>
      </c>
      <c r="L76" s="381">
        <f t="shared" si="378"/>
        <v>0</v>
      </c>
      <c r="M76" s="381">
        <f t="shared" si="379"/>
        <v>0</v>
      </c>
      <c r="N76" s="381">
        <f t="shared" si="380"/>
        <v>0</v>
      </c>
      <c r="O76" s="381">
        <f t="shared" si="381"/>
        <v>0</v>
      </c>
      <c r="P76" s="381">
        <f t="shared" si="382"/>
        <v>0</v>
      </c>
      <c r="Q76" s="220"/>
      <c r="R76" s="1090">
        <v>1</v>
      </c>
      <c r="S76" s="657"/>
      <c r="T76" s="1531"/>
      <c r="U76" s="431" t="s">
        <v>299</v>
      </c>
      <c r="V76" s="687"/>
      <c r="W76" s="687"/>
      <c r="X76" s="687"/>
      <c r="Y76" s="686">
        <v>21</v>
      </c>
      <c r="Z76" s="1085">
        <v>1</v>
      </c>
      <c r="AA76" s="1477">
        <v>210</v>
      </c>
      <c r="AB76" s="1477"/>
      <c r="AC76" s="684">
        <v>0</v>
      </c>
      <c r="AD76" s="684">
        <v>0</v>
      </c>
      <c r="AE76" s="684">
        <v>30</v>
      </c>
      <c r="AF76" s="684">
        <v>30</v>
      </c>
      <c r="AG76" s="1477" t="s">
        <v>24</v>
      </c>
      <c r="AH76" s="1477"/>
      <c r="AI76" s="1467" t="str">
        <f t="shared" si="383"/>
        <v xml:space="preserve"> </v>
      </c>
      <c r="AJ76" s="1468"/>
      <c r="AK76" s="707" t="str">
        <f t="shared" si="384"/>
        <v xml:space="preserve"> </v>
      </c>
      <c r="AL76" s="706"/>
      <c r="AM76" s="706"/>
      <c r="AN76" s="706"/>
      <c r="AO76" s="1096"/>
      <c r="AP76" s="889"/>
      <c r="AQ76" s="665"/>
      <c r="AR76" s="665"/>
      <c r="AS76" s="665"/>
      <c r="AT76" s="665"/>
      <c r="AU76" s="665"/>
      <c r="AV76" s="667"/>
      <c r="AW76" s="655"/>
      <c r="AX76" s="450"/>
      <c r="AY76" s="450"/>
      <c r="AZ76" s="450"/>
      <c r="BA76" s="450"/>
      <c r="BB76" s="450"/>
      <c r="BC76" s="450"/>
      <c r="BD76" s="450"/>
      <c r="BE76" s="450"/>
      <c r="BF76" s="1237"/>
      <c r="BG76" s="450"/>
      <c r="BH76" s="450"/>
      <c r="BI76" s="450"/>
      <c r="BJ76" s="450"/>
      <c r="BK76" s="450"/>
      <c r="BL76" s="450"/>
      <c r="BM76" s="450"/>
      <c r="BN76" s="431" t="s">
        <v>299</v>
      </c>
      <c r="BO76" s="277"/>
      <c r="BP76" s="701" t="str">
        <f t="shared" si="351"/>
        <v xml:space="preserve"> </v>
      </c>
      <c r="BQ76" s="693" t="e">
        <f>'DEGREE MARK SIMULATOR'!CW76</f>
        <v>#NUM!</v>
      </c>
      <c r="BR76" s="367" t="e">
        <f t="shared" si="361"/>
        <v>#NUM!</v>
      </c>
      <c r="BS76" s="81"/>
      <c r="BU76" s="282"/>
      <c r="BX76" s="196" t="str">
        <f t="shared" si="352"/>
        <v xml:space="preserve"> </v>
      </c>
      <c r="BY76" s="81" t="str">
        <f t="shared" si="353"/>
        <v xml:space="preserve"> </v>
      </c>
      <c r="BZ76" s="78">
        <f t="shared" si="362"/>
        <v>1</v>
      </c>
      <c r="CA76" s="55" t="s">
        <v>299</v>
      </c>
      <c r="CB76" s="132" t="s">
        <v>665</v>
      </c>
      <c r="CC76" s="138" t="s">
        <v>301</v>
      </c>
      <c r="CD76" s="37">
        <v>210</v>
      </c>
      <c r="CE76" s="35">
        <v>30</v>
      </c>
      <c r="CF76" s="35"/>
      <c r="CG76" s="36"/>
      <c r="CH76" s="36">
        <v>30</v>
      </c>
      <c r="CI76" s="37" t="s">
        <v>24</v>
      </c>
      <c r="CJ76" s="598">
        <v>21</v>
      </c>
      <c r="CK76" s="37">
        <v>25</v>
      </c>
      <c r="CL76" s="41" t="s">
        <v>904</v>
      </c>
      <c r="CM76" s="609" t="e">
        <f>$HR$49</f>
        <v>#NUM!</v>
      </c>
      <c r="CN76" s="41" t="s">
        <v>903</v>
      </c>
      <c r="CO76" s="582" t="e">
        <f>$EK$49</f>
        <v>#NUM!</v>
      </c>
      <c r="CR76" s="482" t="e">
        <f t="shared" ref="CR76:CR92" si="411">CM76*0.8</f>
        <v>#NUM!</v>
      </c>
      <c r="CS76" s="482" t="e">
        <f t="shared" ref="CS76:CS96" si="412">CO76*0.2</f>
        <v>#NUM!</v>
      </c>
      <c r="CT76" s="78" t="str">
        <f t="shared" ref="CT76:CT96" si="413">CI76</f>
        <v>20 - 80</v>
      </c>
      <c r="CW76" s="613" t="e">
        <f>CR76+CS76</f>
        <v>#NUM!</v>
      </c>
      <c r="CX76" s="431" t="s">
        <v>299</v>
      </c>
      <c r="CY76" s="282"/>
      <c r="IJ76" s="431" t="str">
        <f t="shared" ref="IJ76:IJ103" si="414">BN56</f>
        <v>King's College London</v>
      </c>
      <c r="IK76" s="701" t="str">
        <f t="shared" ref="IK76:IK103" si="415">BP56</f>
        <v xml:space="preserve"> </v>
      </c>
      <c r="IM76" s="454" t="s">
        <v>28</v>
      </c>
      <c r="IN76" s="196" t="str">
        <f t="shared" ref="IN76:IN117" si="416">IF($IN$74=6,KN76," ")</f>
        <v xml:space="preserve"> </v>
      </c>
      <c r="IO76" s="342"/>
      <c r="IP76" s="342"/>
      <c r="IQ76" s="78">
        <v>1</v>
      </c>
      <c r="IR76" s="439" t="str">
        <f>AI55</f>
        <v xml:space="preserve"> </v>
      </c>
      <c r="IS76" s="280">
        <f t="shared" ref="IS76:IS97" si="417">IF(AND($IR76&gt;=$IS$30,$IR76&lt;$IT$30),IS$32,0)</f>
        <v>0</v>
      </c>
      <c r="IT76" s="280">
        <f t="shared" ref="IT76:IT97" si="418">IF(AND($IR76&gt;=$IT$30,$IR76&lt;$IU$30),IT$32,0)</f>
        <v>0</v>
      </c>
      <c r="IU76" s="280">
        <f t="shared" ref="IU76:IU97" si="419">IF(AND($IR76&gt;=$IU$30,$IR76&lt;$IV$30),IU$32,0)</f>
        <v>0</v>
      </c>
      <c r="IV76" s="280">
        <f t="shared" ref="IV76:IV97" si="420">IF(AND($IR76&gt;=$IV$30,$IR76&lt;$IW$30),IV$32,0)</f>
        <v>0</v>
      </c>
      <c r="IW76" s="280">
        <f t="shared" ref="IW76:IW97" si="421">IF(AND($IR76&gt;=$IW$30,$IR76&lt;$IX$30),IW$32,0)</f>
        <v>0</v>
      </c>
      <c r="IX76" s="280">
        <f t="shared" ref="IX76:IX97" si="422">IF(AND($IR76&gt;=$IX$30,$IR76&lt;$IY$30),IX$32,0)</f>
        <v>0</v>
      </c>
      <c r="IY76" s="280">
        <f t="shared" ref="IY76:IY97" si="423">IF(AND($IR76&gt;=$IY$30,$IR76&lt;$IZ$30),IY$32,0)</f>
        <v>0</v>
      </c>
      <c r="IZ76" s="280">
        <f t="shared" ref="IZ76:IZ97" si="424">IF(AND($IR76&gt;=$IZ$30,$IR76&lt;$JA$30),IZ$32,0)</f>
        <v>0</v>
      </c>
      <c r="JA76" s="280">
        <f t="shared" ref="JA76:JA97" si="425">IF(AND($IR76&gt;=$JA$30,$IR76&lt;$JB$30),JA$32,0)</f>
        <v>0</v>
      </c>
      <c r="JB76" s="280">
        <f t="shared" ref="JB76:JB97" si="426">IF(AND($IR76&gt;=$JB$30,$IR76&lt;$JC$30),JB$32,0)</f>
        <v>0</v>
      </c>
      <c r="JC76" s="280">
        <f t="shared" ref="JC76:JC97" si="427">IF(AND($IR76&gt;=$JC$30,$IR76&lt;$JD$30),JC$32,0)</f>
        <v>0</v>
      </c>
      <c r="JD76" s="280">
        <f t="shared" ref="JD76:JD97" si="428">IF(AND($IR76&gt;=$JD$30,$IR76&lt;$JE$30),JD$32,0)</f>
        <v>0</v>
      </c>
      <c r="JE76" s="280">
        <f t="shared" ref="JE76:JE97" si="429">IF(AND($IR76&gt;=$JE$30,$IR76&lt;$JF$30),JE$32,0)</f>
        <v>0</v>
      </c>
      <c r="JF76" s="280">
        <f t="shared" ref="JF76:JF97" si="430">IF(AND($IR76&gt;=$JF$30,$IR76&lt;$JG$30),JF$32,0)</f>
        <v>0</v>
      </c>
      <c r="JG76" s="280">
        <f t="shared" ref="JG76:JG97" si="431">IF(AND($IR76&gt;=$JG$30,$IR76&lt;$JH$30),JG$32,0)</f>
        <v>0</v>
      </c>
      <c r="JH76" s="280">
        <f t="shared" ref="JH76:JH97" si="432">IF(AND($IR76&gt;=$JH$30,$IR76&lt;$JI$30),JH$32,0)</f>
        <v>0</v>
      </c>
      <c r="JI76" s="280">
        <f t="shared" ref="JI76:JI97" si="433">IF(AND($IR76&gt;=$JI$30,$IR76&lt;$JJ$30),JI$32,0)</f>
        <v>0</v>
      </c>
      <c r="JJ76" s="280">
        <f t="shared" ref="JJ76:JJ97" si="434">IF(AND($IR76&gt;=$JJ$30,$IR76&lt;$JK$30),JJ$32,0)</f>
        <v>0</v>
      </c>
      <c r="JK76" s="280">
        <f t="shared" ref="JK76:JK97" si="435">IF(AND($IR76&gt;=$JK$30,$IR76&lt;$JL$30),JK$32,0)</f>
        <v>0</v>
      </c>
      <c r="JL76" s="280">
        <f t="shared" ref="JL76:JL97" si="436">IF(AND($IR76&gt;=$JL$30,$IR76&lt;$JM$30),JL$32,0)</f>
        <v>0</v>
      </c>
      <c r="JM76" s="280">
        <f t="shared" ref="JM76:JM97" si="437">IF(AND($IR76&gt;=$JM$30,$IR76&lt;$JN$30),JM$32,0)</f>
        <v>0</v>
      </c>
      <c r="JN76" s="280">
        <f t="shared" ref="JN76:JN97" si="438">IF(AND($IR76&gt;=$JN$30,$IR76&lt;$JO$30),JN$32,0)</f>
        <v>0</v>
      </c>
      <c r="JO76" s="280">
        <f t="shared" ref="JO76:JO97" si="439">IF(AND($IR76&gt;=$JO$30,$IR76&lt;$JP$30),JO$32,0)</f>
        <v>0</v>
      </c>
      <c r="JP76" s="280">
        <f t="shared" ref="JP76:JP97" si="440">IF(AND($IR76&gt;=$JP$30,$IR76&lt;$JQ$30),JP$32,0)</f>
        <v>0</v>
      </c>
      <c r="JQ76" s="280">
        <f t="shared" ref="JQ76:JQ97" si="441">IF(AND($IR76&gt;=$JQ$30,$IR76&lt;$JR$30),JQ$32,0)</f>
        <v>0</v>
      </c>
      <c r="JR76" s="280">
        <f t="shared" ref="JR76:JR97" si="442">IF(AND($IR76&gt;=$JR$30,$IR76&lt;$JS$30),JR$32,0)</f>
        <v>0</v>
      </c>
      <c r="JS76" s="44">
        <f t="shared" ref="JS76" si="443">SUM(IS76:JR76)</f>
        <v>0</v>
      </c>
      <c r="JT76" s="343" t="e">
        <f t="shared" ref="JT76" si="444">HLOOKUP(JS76,$IS$32:$JR$33,2,0)</f>
        <v>#N/A</v>
      </c>
      <c r="JU76" s="431" t="s">
        <v>28</v>
      </c>
      <c r="JV76" s="280">
        <f t="shared" ref="JV76:JV97" si="445">IF(AND($IR76&gt;=$JV$30,$IR76&lt;$JW$30),JV$32,0)</f>
        <v>0</v>
      </c>
      <c r="JW76" s="280">
        <f t="shared" ref="JW76:JW97" si="446">IF(AND($IR76&gt;=$JW$30,$IR76&lt;$JX$30),JW$32,0)</f>
        <v>0</v>
      </c>
      <c r="JX76" s="280">
        <f t="shared" ref="JX76:JX97" si="447">IF(AND($IR76&gt;=$JX$30,$IR76&lt;$JY$30),JX$32,0)</f>
        <v>0</v>
      </c>
      <c r="JY76" s="280">
        <f t="shared" ref="JY76:JY97" si="448">IF(AND($IR76&gt;=$JY$30,$IR76&lt;$JZ$30),JY$32,0)</f>
        <v>0</v>
      </c>
      <c r="JZ76" s="280">
        <f t="shared" ref="JZ76:JZ97" si="449">IF(AND($IR76&gt;=$JZ$30,$IR76&lt;$KA$30),JZ$32,0)</f>
        <v>0</v>
      </c>
      <c r="KA76" s="280">
        <f t="shared" ref="KA76:KA97" si="450">IF(AND($IR76&gt;=$KA$30,$IR76&lt;$KB$30),KA$32,0)</f>
        <v>0</v>
      </c>
      <c r="KB76" s="44">
        <f t="shared" ref="KB76" si="451">SUM(JV76:KA76)</f>
        <v>0</v>
      </c>
      <c r="KC76" s="343" t="e">
        <f t="shared" ref="KC76" si="452">HLOOKUP(KB76,$JV$32:$KB$33,2,0)</f>
        <v>#N/A</v>
      </c>
      <c r="KE76" s="280">
        <f t="shared" ref="KE76:KE97" si="453">IF(AND($IR76&gt;=$KE$30,$IR76&lt;$KE$29),KE$32,0)</f>
        <v>0</v>
      </c>
      <c r="KF76" s="280">
        <f t="shared" ref="KF76:KF97" si="454">IF(AND($IR76&gt;=$KF$30,$IR76&lt;$KF$29),KF$32,0)</f>
        <v>0</v>
      </c>
      <c r="KG76" s="280">
        <f t="shared" ref="KG76:KG97" si="455">IF(AND($IR76&gt;=$KG$30,$IR76&lt;$KG$29),KG$32,0)</f>
        <v>0</v>
      </c>
      <c r="KH76" s="78">
        <f>IF(SUM(KE76:KG76)&gt;0,"PP",0)</f>
        <v>0</v>
      </c>
      <c r="KI76" s="592" t="str">
        <f>IR76</f>
        <v xml:space="preserve"> </v>
      </c>
      <c r="KJ76" s="280">
        <f t="shared" ref="KJ76:KJ97" si="456">IF(AND($IR76&gt;=$KJ$30,$IR76&lt;$KJ$29),KJ$32,0)</f>
        <v>0</v>
      </c>
      <c r="KK76" s="280">
        <f t="shared" ref="KK76:KK97" si="457">IF(AND($IR76&gt;=$KK$30,$IR76&lt;$KK$29),KK$32,0)</f>
        <v>0</v>
      </c>
      <c r="KL76" s="280">
        <f t="shared" ref="KL76:KL97" si="458">IF(AND($IR76&gt;=$KL$30,$IR76&lt;$KL$29),KL$32,0)</f>
        <v>0</v>
      </c>
      <c r="KM76" s="78">
        <f>IF(SUM(KJ76:KL76)&gt;0,"P",0)</f>
        <v>0</v>
      </c>
      <c r="KN76" s="458">
        <f>KM76</f>
        <v>0</v>
      </c>
      <c r="KO76" s="218"/>
      <c r="KP76" s="218"/>
      <c r="KU76" s="60"/>
      <c r="NY76" s="544"/>
    </row>
    <row r="77" spans="1:389" ht="16.149999999999999" customHeight="1" x14ac:dyDescent="0.25">
      <c r="A77" s="431" t="str">
        <f t="shared" si="367"/>
        <v>Kingston</v>
      </c>
      <c r="B77" s="1092">
        <f t="shared" si="368"/>
        <v>0</v>
      </c>
      <c r="C77" s="1092">
        <f t="shared" si="369"/>
        <v>0</v>
      </c>
      <c r="D77" s="1092">
        <f t="shared" si="370"/>
        <v>0</v>
      </c>
      <c r="E77" s="1092">
        <f t="shared" si="371"/>
        <v>0</v>
      </c>
      <c r="F77" s="1092">
        <f t="shared" si="372"/>
        <v>0</v>
      </c>
      <c r="G77" s="280">
        <f t="shared" si="373"/>
        <v>0</v>
      </c>
      <c r="H77" s="280">
        <f t="shared" si="374"/>
        <v>0</v>
      </c>
      <c r="I77" s="280">
        <f t="shared" si="375"/>
        <v>0</v>
      </c>
      <c r="J77" s="280">
        <f t="shared" si="376"/>
        <v>0</v>
      </c>
      <c r="K77" s="280">
        <f t="shared" si="377"/>
        <v>0</v>
      </c>
      <c r="L77" s="381">
        <f t="shared" si="378"/>
        <v>0</v>
      </c>
      <c r="M77" s="381">
        <f t="shared" si="379"/>
        <v>0</v>
      </c>
      <c r="N77" s="381">
        <f t="shared" si="380"/>
        <v>0</v>
      </c>
      <c r="O77" s="381">
        <f t="shared" si="381"/>
        <v>0</v>
      </c>
      <c r="P77" s="381">
        <f t="shared" si="382"/>
        <v>0</v>
      </c>
      <c r="Q77" s="220"/>
      <c r="R77" s="1090">
        <v>1</v>
      </c>
      <c r="S77" s="657"/>
      <c r="T77" s="1531"/>
      <c r="U77" s="431" t="s">
        <v>302</v>
      </c>
      <c r="V77" s="687"/>
      <c r="W77" s="687"/>
      <c r="X77" s="687"/>
      <c r="Y77" s="686">
        <v>21</v>
      </c>
      <c r="Z77" s="1085">
        <v>1</v>
      </c>
      <c r="AA77" s="1477">
        <v>210</v>
      </c>
      <c r="AB77" s="1477"/>
      <c r="AC77" s="684">
        <v>0</v>
      </c>
      <c r="AD77" s="684">
        <v>15</v>
      </c>
      <c r="AE77" s="684">
        <v>15</v>
      </c>
      <c r="AF77" s="684">
        <v>30</v>
      </c>
      <c r="AG77" s="1477" t="s">
        <v>24</v>
      </c>
      <c r="AH77" s="1477"/>
      <c r="AI77" s="1467" t="str">
        <f t="shared" si="383"/>
        <v xml:space="preserve"> </v>
      </c>
      <c r="AJ77" s="1468"/>
      <c r="AK77" s="707" t="str">
        <f t="shared" si="384"/>
        <v xml:space="preserve"> </v>
      </c>
      <c r="AL77" s="706"/>
      <c r="AM77" s="706"/>
      <c r="AN77" s="706"/>
      <c r="AO77" s="1096"/>
      <c r="AP77" s="348"/>
      <c r="AQ77" s="126"/>
      <c r="AR77" s="126"/>
      <c r="AS77" s="126"/>
      <c r="AT77" s="126"/>
      <c r="AU77" s="126"/>
      <c r="AV77" s="667"/>
      <c r="AW77" s="655"/>
      <c r="AX77" s="450"/>
      <c r="AY77" s="450"/>
      <c r="AZ77" s="450"/>
      <c r="BA77" s="450"/>
      <c r="BB77" s="450"/>
      <c r="BC77" s="450"/>
      <c r="BD77" s="450"/>
      <c r="BE77" s="450"/>
      <c r="BF77" s="1237"/>
      <c r="BG77" s="450"/>
      <c r="BH77" s="450"/>
      <c r="BI77" s="450"/>
      <c r="BJ77" s="450"/>
      <c r="BK77" s="450"/>
      <c r="BL77" s="450"/>
      <c r="BM77" s="450"/>
      <c r="BN77" s="431" t="s">
        <v>302</v>
      </c>
      <c r="BO77" s="450"/>
      <c r="BP77" s="701" t="str">
        <f t="shared" si="351"/>
        <v xml:space="preserve"> </v>
      </c>
      <c r="BQ77" s="693" t="e">
        <f>'DEGREE MARK SIMULATOR'!CW77</f>
        <v>#NUM!</v>
      </c>
      <c r="BR77" s="367" t="e">
        <f t="shared" si="361"/>
        <v>#NUM!</v>
      </c>
      <c r="BS77" s="81"/>
      <c r="BU77" s="282"/>
      <c r="BX77" s="196" t="str">
        <f t="shared" ref="BX77:BX82" si="459">IN97</f>
        <v xml:space="preserve"> </v>
      </c>
      <c r="BY77" s="81" t="str">
        <f t="shared" si="353"/>
        <v xml:space="preserve"> </v>
      </c>
      <c r="BZ77" s="78">
        <f t="shared" si="362"/>
        <v>1</v>
      </c>
      <c r="CA77" s="55" t="s">
        <v>302</v>
      </c>
      <c r="CB77" s="132" t="s">
        <v>304</v>
      </c>
      <c r="CC77" s="138" t="s">
        <v>305</v>
      </c>
      <c r="CD77" s="37">
        <v>210</v>
      </c>
      <c r="CE77" s="35">
        <v>30</v>
      </c>
      <c r="CF77" s="35"/>
      <c r="CG77" s="36">
        <v>15</v>
      </c>
      <c r="CH77" s="36">
        <v>15</v>
      </c>
      <c r="CI77" s="37" t="s">
        <v>24</v>
      </c>
      <c r="CJ77" s="598">
        <v>22</v>
      </c>
      <c r="CK77" s="37">
        <v>26</v>
      </c>
      <c r="CL77" s="41" t="s">
        <v>904</v>
      </c>
      <c r="CM77" s="609" t="e">
        <f>$CM$75</f>
        <v>#NUM!</v>
      </c>
      <c r="CN77" s="41" t="s">
        <v>903</v>
      </c>
      <c r="CO77" s="582" t="e">
        <f>$CO$76</f>
        <v>#NUM!</v>
      </c>
      <c r="CR77" s="482" t="e">
        <f t="shared" si="411"/>
        <v>#NUM!</v>
      </c>
      <c r="CS77" s="482" t="e">
        <f t="shared" si="412"/>
        <v>#NUM!</v>
      </c>
      <c r="CT77" s="78" t="str">
        <f t="shared" si="413"/>
        <v>20 - 80</v>
      </c>
      <c r="CW77" s="613" t="e">
        <f t="shared" si="410"/>
        <v>#NUM!</v>
      </c>
      <c r="CX77" s="431" t="s">
        <v>302</v>
      </c>
      <c r="IJ77" s="431" t="str">
        <f t="shared" si="414"/>
        <v>Aberystwyth</v>
      </c>
      <c r="IK77" s="701" t="str">
        <f t="shared" si="415"/>
        <v xml:space="preserve"> </v>
      </c>
      <c r="IM77" s="431" t="s">
        <v>59</v>
      </c>
      <c r="IN77" s="196" t="str">
        <f t="shared" si="416"/>
        <v xml:space="preserve"> </v>
      </c>
      <c r="IO77" s="342"/>
      <c r="IP77" s="342"/>
      <c r="IQ77" s="78">
        <f>IQ76+1</f>
        <v>2</v>
      </c>
      <c r="IR77" s="439" t="str">
        <f t="shared" ref="IR77:IR81" si="460">AI56</f>
        <v xml:space="preserve"> </v>
      </c>
      <c r="IS77" s="280">
        <f t="shared" si="417"/>
        <v>0</v>
      </c>
      <c r="IT77" s="280">
        <f t="shared" si="418"/>
        <v>0</v>
      </c>
      <c r="IU77" s="280">
        <f t="shared" si="419"/>
        <v>0</v>
      </c>
      <c r="IV77" s="280">
        <f t="shared" si="420"/>
        <v>0</v>
      </c>
      <c r="IW77" s="280">
        <f t="shared" si="421"/>
        <v>0</v>
      </c>
      <c r="IX77" s="280">
        <f t="shared" si="422"/>
        <v>0</v>
      </c>
      <c r="IY77" s="280">
        <f t="shared" si="423"/>
        <v>0</v>
      </c>
      <c r="IZ77" s="280">
        <f t="shared" si="424"/>
        <v>0</v>
      </c>
      <c r="JA77" s="280">
        <f t="shared" si="425"/>
        <v>0</v>
      </c>
      <c r="JB77" s="280">
        <f t="shared" si="426"/>
        <v>0</v>
      </c>
      <c r="JC77" s="280">
        <f t="shared" si="427"/>
        <v>0</v>
      </c>
      <c r="JD77" s="280">
        <f t="shared" si="428"/>
        <v>0</v>
      </c>
      <c r="JE77" s="280">
        <f t="shared" si="429"/>
        <v>0</v>
      </c>
      <c r="JF77" s="280">
        <f t="shared" si="430"/>
        <v>0</v>
      </c>
      <c r="JG77" s="280">
        <f t="shared" si="431"/>
        <v>0</v>
      </c>
      <c r="JH77" s="280">
        <f t="shared" si="432"/>
        <v>0</v>
      </c>
      <c r="JI77" s="280">
        <f t="shared" si="433"/>
        <v>0</v>
      </c>
      <c r="JJ77" s="280">
        <f t="shared" si="434"/>
        <v>0</v>
      </c>
      <c r="JK77" s="280">
        <f t="shared" si="435"/>
        <v>0</v>
      </c>
      <c r="JL77" s="280">
        <f t="shared" si="436"/>
        <v>0</v>
      </c>
      <c r="JM77" s="280">
        <f t="shared" si="437"/>
        <v>0</v>
      </c>
      <c r="JN77" s="280">
        <f t="shared" si="438"/>
        <v>0</v>
      </c>
      <c r="JO77" s="280">
        <f t="shared" si="439"/>
        <v>0</v>
      </c>
      <c r="JP77" s="280">
        <f t="shared" si="440"/>
        <v>0</v>
      </c>
      <c r="JQ77" s="280">
        <f t="shared" si="441"/>
        <v>0</v>
      </c>
      <c r="JR77" s="280">
        <f t="shared" si="442"/>
        <v>0</v>
      </c>
      <c r="JS77" s="44">
        <f t="shared" ref="JS77:JS116" si="461">SUM(IS77:JR77)</f>
        <v>0</v>
      </c>
      <c r="JT77" s="343" t="e">
        <f t="shared" ref="JT77:JT116" si="462">HLOOKUP(JS77,$IS$32:$JR$33,2,0)</f>
        <v>#N/A</v>
      </c>
      <c r="JU77" s="431" t="s">
        <v>59</v>
      </c>
      <c r="JV77" s="280">
        <f t="shared" si="445"/>
        <v>0</v>
      </c>
      <c r="JW77" s="280">
        <f t="shared" si="446"/>
        <v>0</v>
      </c>
      <c r="JX77" s="280">
        <f t="shared" si="447"/>
        <v>0</v>
      </c>
      <c r="JY77" s="280">
        <f t="shared" si="448"/>
        <v>0</v>
      </c>
      <c r="JZ77" s="280">
        <f t="shared" si="449"/>
        <v>0</v>
      </c>
      <c r="KA77" s="280">
        <f t="shared" si="450"/>
        <v>0</v>
      </c>
      <c r="KB77" s="44">
        <f t="shared" ref="KB77:KB116" si="463">SUM(JV77:KA77)</f>
        <v>0</v>
      </c>
      <c r="KC77" s="343" t="e">
        <f t="shared" ref="KC77:KC116" si="464">HLOOKUP(KB77,$JV$32:$KB$33,2,0)</f>
        <v>#N/A</v>
      </c>
      <c r="KE77" s="280">
        <f t="shared" si="453"/>
        <v>0</v>
      </c>
      <c r="KF77" s="280">
        <f t="shared" si="454"/>
        <v>0</v>
      </c>
      <c r="KG77" s="280">
        <f t="shared" si="455"/>
        <v>0</v>
      </c>
      <c r="KH77" s="78">
        <f t="shared" ref="KH77:KH116" si="465">IF(SUM(KE77:KG77)&gt;0,"PP",0)</f>
        <v>0</v>
      </c>
      <c r="KI77" s="592" t="str">
        <f t="shared" ref="KI77:KI116" si="466">IR77</f>
        <v xml:space="preserve"> </v>
      </c>
      <c r="KJ77" s="280">
        <f t="shared" si="456"/>
        <v>0</v>
      </c>
      <c r="KK77" s="280">
        <f t="shared" si="457"/>
        <v>0</v>
      </c>
      <c r="KL77" s="280">
        <f t="shared" si="458"/>
        <v>0</v>
      </c>
      <c r="KM77" s="78">
        <f t="shared" ref="KM77:KM116" si="467">IF(SUM(KJ77:KL77)&gt;0,"P",0)</f>
        <v>0</v>
      </c>
      <c r="KN77" s="458">
        <f t="shared" ref="KN77:KN116" si="468">KM77</f>
        <v>0</v>
      </c>
      <c r="KO77" s="218"/>
      <c r="KP77" s="218"/>
      <c r="KU77" s="60"/>
      <c r="NY77" s="544"/>
    </row>
    <row r="78" spans="1:389" ht="16.149999999999999" customHeight="1" x14ac:dyDescent="0.25">
      <c r="A78" s="431" t="str">
        <f t="shared" si="367"/>
        <v>Canterbury Christ Church</v>
      </c>
      <c r="B78" s="1092">
        <f t="shared" si="368"/>
        <v>0</v>
      </c>
      <c r="C78" s="1092">
        <f t="shared" si="369"/>
        <v>0</v>
      </c>
      <c r="D78" s="1092">
        <f t="shared" si="370"/>
        <v>0</v>
      </c>
      <c r="E78" s="1092">
        <f t="shared" si="371"/>
        <v>0</v>
      </c>
      <c r="F78" s="1092">
        <f t="shared" si="372"/>
        <v>0</v>
      </c>
      <c r="G78" s="280">
        <f t="shared" si="373"/>
        <v>0</v>
      </c>
      <c r="H78" s="280">
        <f t="shared" si="374"/>
        <v>0</v>
      </c>
      <c r="I78" s="280">
        <f t="shared" si="375"/>
        <v>0</v>
      </c>
      <c r="J78" s="280">
        <f t="shared" si="376"/>
        <v>0</v>
      </c>
      <c r="K78" s="280">
        <f t="shared" si="377"/>
        <v>0</v>
      </c>
      <c r="L78" s="381">
        <f t="shared" si="378"/>
        <v>0</v>
      </c>
      <c r="M78" s="381">
        <f t="shared" si="379"/>
        <v>0</v>
      </c>
      <c r="N78" s="381">
        <f t="shared" si="380"/>
        <v>0</v>
      </c>
      <c r="O78" s="381">
        <f t="shared" si="381"/>
        <v>0</v>
      </c>
      <c r="P78" s="381">
        <f t="shared" si="382"/>
        <v>0</v>
      </c>
      <c r="Q78" s="220"/>
      <c r="R78" s="1090">
        <v>3</v>
      </c>
      <c r="S78" s="657"/>
      <c r="T78" s="1531"/>
      <c r="U78" s="431" t="s">
        <v>306</v>
      </c>
      <c r="V78" s="687"/>
      <c r="W78" s="687"/>
      <c r="X78" s="687"/>
      <c r="Y78" s="686">
        <v>22</v>
      </c>
      <c r="Z78" s="1085">
        <v>3</v>
      </c>
      <c r="AA78" s="1477">
        <v>200</v>
      </c>
      <c r="AB78" s="1477"/>
      <c r="AC78" s="684">
        <v>0</v>
      </c>
      <c r="AD78" s="684">
        <v>20</v>
      </c>
      <c r="AE78" s="684">
        <v>20</v>
      </c>
      <c r="AF78" s="684">
        <v>40</v>
      </c>
      <c r="AG78" s="1477" t="s">
        <v>18</v>
      </c>
      <c r="AH78" s="1477"/>
      <c r="AI78" s="1467" t="str">
        <f t="shared" si="383"/>
        <v xml:space="preserve"> </v>
      </c>
      <c r="AJ78" s="1468"/>
      <c r="AK78" s="707" t="str">
        <f t="shared" si="384"/>
        <v xml:space="preserve"> </v>
      </c>
      <c r="AL78" s="132"/>
      <c r="AM78" s="801"/>
      <c r="AN78" s="801"/>
      <c r="AO78" s="348"/>
      <c r="AP78" s="890"/>
      <c r="AQ78" s="665"/>
      <c r="AR78" s="667"/>
      <c r="AS78" s="667"/>
      <c r="AT78" s="667"/>
      <c r="AU78" s="667"/>
      <c r="AV78" s="667"/>
      <c r="AW78" s="655"/>
      <c r="AX78" s="450"/>
      <c r="AY78" s="450"/>
      <c r="AZ78" s="450"/>
      <c r="BA78" s="450"/>
      <c r="BB78" s="450"/>
      <c r="BC78" s="450"/>
      <c r="BD78" s="450"/>
      <c r="BE78" s="450"/>
      <c r="BF78" s="1237"/>
      <c r="BG78" s="450"/>
      <c r="BH78" s="450"/>
      <c r="BI78" s="450"/>
      <c r="BJ78" s="450"/>
      <c r="BK78" s="450"/>
      <c r="BL78" s="450"/>
      <c r="BM78" s="450"/>
      <c r="BN78" s="431" t="s">
        <v>306</v>
      </c>
      <c r="BO78" s="450"/>
      <c r="BP78" s="701" t="str">
        <f t="shared" si="351"/>
        <v xml:space="preserve"> </v>
      </c>
      <c r="BQ78" s="693" t="e">
        <f>'DEGREE MARK SIMULATOR'!CW78</f>
        <v>#NUM!</v>
      </c>
      <c r="BR78" s="367" t="e">
        <f t="shared" si="361"/>
        <v>#NUM!</v>
      </c>
      <c r="BS78" s="81"/>
      <c r="BU78" s="282"/>
      <c r="BW78" s="41"/>
      <c r="BX78" s="196" t="str">
        <f t="shared" si="459"/>
        <v xml:space="preserve"> </v>
      </c>
      <c r="BY78" s="81" t="str">
        <f t="shared" si="353"/>
        <v xml:space="preserve"> </v>
      </c>
      <c r="BZ78" s="78">
        <f t="shared" si="362"/>
        <v>1</v>
      </c>
      <c r="CA78" s="55" t="s">
        <v>306</v>
      </c>
      <c r="CB78" s="132" t="s">
        <v>666</v>
      </c>
      <c r="CC78" s="138" t="s">
        <v>308</v>
      </c>
      <c r="CD78" s="37">
        <v>200</v>
      </c>
      <c r="CE78" s="35">
        <v>40</v>
      </c>
      <c r="CF78" s="35"/>
      <c r="CG78" s="36">
        <v>20</v>
      </c>
      <c r="CH78" s="36">
        <v>20</v>
      </c>
      <c r="CI78" s="37" t="s">
        <v>18</v>
      </c>
      <c r="CJ78" s="598">
        <v>23</v>
      </c>
      <c r="CK78" s="37">
        <v>27</v>
      </c>
      <c r="CL78" s="41" t="s">
        <v>904</v>
      </c>
      <c r="CM78" s="610" t="e">
        <f>$HK$49</f>
        <v>#NUM!</v>
      </c>
      <c r="CN78" s="41" t="s">
        <v>903</v>
      </c>
      <c r="CO78" s="582" t="e">
        <f>$ER$49</f>
        <v>#NUM!</v>
      </c>
      <c r="CR78" s="78" t="e">
        <f>CM78*0.6</f>
        <v>#NUM!</v>
      </c>
      <c r="CS78" s="78" t="e">
        <f>CO78*0.4</f>
        <v>#NUM!</v>
      </c>
      <c r="CT78" s="78" t="str">
        <f t="shared" si="413"/>
        <v>40 - 60</v>
      </c>
      <c r="CW78" s="613" t="e">
        <f t="shared" si="410"/>
        <v>#NUM!</v>
      </c>
      <c r="CX78" s="431" t="s">
        <v>306</v>
      </c>
      <c r="IJ78" s="431" t="str">
        <f t="shared" si="414"/>
        <v>QU Belfast</v>
      </c>
      <c r="IK78" s="701" t="str">
        <f t="shared" si="415"/>
        <v xml:space="preserve"> </v>
      </c>
      <c r="IM78" s="431" t="s">
        <v>34</v>
      </c>
      <c r="IN78" s="196" t="str">
        <f t="shared" si="416"/>
        <v xml:space="preserve"> </v>
      </c>
      <c r="IO78" s="342"/>
      <c r="IP78" s="342"/>
      <c r="IQ78" s="78">
        <f t="shared" ref="IQ78:IQ116" si="469">IQ77+1</f>
        <v>3</v>
      </c>
      <c r="IR78" s="439" t="str">
        <f t="shared" si="460"/>
        <v xml:space="preserve"> </v>
      </c>
      <c r="IS78" s="280">
        <f t="shared" si="417"/>
        <v>0</v>
      </c>
      <c r="IT78" s="280">
        <f t="shared" si="418"/>
        <v>0</v>
      </c>
      <c r="IU78" s="280">
        <f t="shared" si="419"/>
        <v>0</v>
      </c>
      <c r="IV78" s="280">
        <f t="shared" si="420"/>
        <v>0</v>
      </c>
      <c r="IW78" s="280">
        <f t="shared" si="421"/>
        <v>0</v>
      </c>
      <c r="IX78" s="280">
        <f t="shared" si="422"/>
        <v>0</v>
      </c>
      <c r="IY78" s="280">
        <f t="shared" si="423"/>
        <v>0</v>
      </c>
      <c r="IZ78" s="280">
        <f t="shared" si="424"/>
        <v>0</v>
      </c>
      <c r="JA78" s="280">
        <f t="shared" si="425"/>
        <v>0</v>
      </c>
      <c r="JB78" s="280">
        <f t="shared" si="426"/>
        <v>0</v>
      </c>
      <c r="JC78" s="280">
        <f t="shared" si="427"/>
        <v>0</v>
      </c>
      <c r="JD78" s="280">
        <f t="shared" si="428"/>
        <v>0</v>
      </c>
      <c r="JE78" s="280">
        <f t="shared" si="429"/>
        <v>0</v>
      </c>
      <c r="JF78" s="280">
        <f t="shared" si="430"/>
        <v>0</v>
      </c>
      <c r="JG78" s="280">
        <f t="shared" si="431"/>
        <v>0</v>
      </c>
      <c r="JH78" s="280">
        <f t="shared" si="432"/>
        <v>0</v>
      </c>
      <c r="JI78" s="280">
        <f t="shared" si="433"/>
        <v>0</v>
      </c>
      <c r="JJ78" s="280">
        <f t="shared" si="434"/>
        <v>0</v>
      </c>
      <c r="JK78" s="280">
        <f t="shared" si="435"/>
        <v>0</v>
      </c>
      <c r="JL78" s="280">
        <f t="shared" si="436"/>
        <v>0</v>
      </c>
      <c r="JM78" s="280">
        <f t="shared" si="437"/>
        <v>0</v>
      </c>
      <c r="JN78" s="280">
        <f t="shared" si="438"/>
        <v>0</v>
      </c>
      <c r="JO78" s="280">
        <f t="shared" si="439"/>
        <v>0</v>
      </c>
      <c r="JP78" s="280">
        <f t="shared" si="440"/>
        <v>0</v>
      </c>
      <c r="JQ78" s="280">
        <f t="shared" si="441"/>
        <v>0</v>
      </c>
      <c r="JR78" s="280">
        <f t="shared" si="442"/>
        <v>0</v>
      </c>
      <c r="JS78" s="44">
        <f t="shared" si="461"/>
        <v>0</v>
      </c>
      <c r="JT78" s="343" t="e">
        <f t="shared" si="462"/>
        <v>#N/A</v>
      </c>
      <c r="JU78" s="431" t="s">
        <v>34</v>
      </c>
      <c r="JV78" s="280">
        <f t="shared" si="445"/>
        <v>0</v>
      </c>
      <c r="JW78" s="280">
        <f t="shared" si="446"/>
        <v>0</v>
      </c>
      <c r="JX78" s="280">
        <f t="shared" si="447"/>
        <v>0</v>
      </c>
      <c r="JY78" s="280">
        <f t="shared" si="448"/>
        <v>0</v>
      </c>
      <c r="JZ78" s="280">
        <f t="shared" si="449"/>
        <v>0</v>
      </c>
      <c r="KA78" s="280">
        <f t="shared" si="450"/>
        <v>0</v>
      </c>
      <c r="KB78" s="44">
        <f t="shared" si="463"/>
        <v>0</v>
      </c>
      <c r="KC78" s="343" t="e">
        <f t="shared" si="464"/>
        <v>#N/A</v>
      </c>
      <c r="KE78" s="280">
        <f t="shared" si="453"/>
        <v>0</v>
      </c>
      <c r="KF78" s="280">
        <f t="shared" si="454"/>
        <v>0</v>
      </c>
      <c r="KG78" s="280">
        <f t="shared" si="455"/>
        <v>0</v>
      </c>
      <c r="KH78" s="78">
        <f t="shared" si="465"/>
        <v>0</v>
      </c>
      <c r="KI78" s="592" t="str">
        <f t="shared" si="466"/>
        <v xml:space="preserve"> </v>
      </c>
      <c r="KJ78" s="280">
        <f t="shared" si="456"/>
        <v>0</v>
      </c>
      <c r="KK78" s="280">
        <f t="shared" si="457"/>
        <v>0</v>
      </c>
      <c r="KL78" s="280">
        <f t="shared" si="458"/>
        <v>0</v>
      </c>
      <c r="KM78" s="78">
        <f t="shared" si="467"/>
        <v>0</v>
      </c>
      <c r="KN78" s="458">
        <f t="shared" si="468"/>
        <v>0</v>
      </c>
      <c r="KO78" s="444"/>
      <c r="KP78" s="218"/>
      <c r="KQ78" s="218"/>
      <c r="NY78" s="544"/>
    </row>
    <row r="79" spans="1:389" ht="16.149999999999999" customHeight="1" x14ac:dyDescent="0.25">
      <c r="A79" s="431" t="str">
        <f t="shared" si="367"/>
        <v>West London</v>
      </c>
      <c r="B79" s="1092">
        <f t="shared" si="368"/>
        <v>0</v>
      </c>
      <c r="C79" s="1092">
        <f t="shared" si="369"/>
        <v>0</v>
      </c>
      <c r="D79" s="1092">
        <f t="shared" si="370"/>
        <v>0</v>
      </c>
      <c r="E79" s="1092">
        <f t="shared" si="371"/>
        <v>0</v>
      </c>
      <c r="F79" s="1092">
        <f t="shared" si="372"/>
        <v>0</v>
      </c>
      <c r="G79" s="280">
        <f t="shared" si="373"/>
        <v>0</v>
      </c>
      <c r="H79" s="280">
        <f t="shared" si="374"/>
        <v>0</v>
      </c>
      <c r="I79" s="280">
        <f t="shared" si="375"/>
        <v>0</v>
      </c>
      <c r="J79" s="280">
        <f t="shared" si="376"/>
        <v>0</v>
      </c>
      <c r="K79" s="280">
        <f t="shared" si="377"/>
        <v>0</v>
      </c>
      <c r="L79" s="381">
        <f t="shared" si="378"/>
        <v>0</v>
      </c>
      <c r="M79" s="381">
        <f t="shared" si="379"/>
        <v>0</v>
      </c>
      <c r="N79" s="381">
        <f t="shared" si="380"/>
        <v>0</v>
      </c>
      <c r="O79" s="381">
        <f t="shared" si="381"/>
        <v>0</v>
      </c>
      <c r="P79" s="381">
        <f t="shared" si="382"/>
        <v>0</v>
      </c>
      <c r="Q79" s="220"/>
      <c r="R79" s="1090">
        <v>1</v>
      </c>
      <c r="S79" s="657"/>
      <c r="T79" s="1531"/>
      <c r="U79" s="431" t="s">
        <v>316</v>
      </c>
      <c r="V79" s="687"/>
      <c r="W79" s="687"/>
      <c r="X79" s="687"/>
      <c r="Y79" s="686">
        <v>23</v>
      </c>
      <c r="Z79" s="1085">
        <v>1</v>
      </c>
      <c r="AA79" s="1477">
        <v>200</v>
      </c>
      <c r="AB79" s="1477"/>
      <c r="AC79" s="684">
        <v>0</v>
      </c>
      <c r="AD79" s="684">
        <v>20</v>
      </c>
      <c r="AE79" s="684">
        <v>20</v>
      </c>
      <c r="AF79" s="684">
        <v>40</v>
      </c>
      <c r="AG79" s="1477" t="s">
        <v>19</v>
      </c>
      <c r="AH79" s="1477"/>
      <c r="AI79" s="1467" t="str">
        <f t="shared" si="383"/>
        <v xml:space="preserve"> </v>
      </c>
      <c r="AJ79" s="1468"/>
      <c r="AK79" s="707" t="str">
        <f t="shared" si="384"/>
        <v xml:space="preserve"> </v>
      </c>
      <c r="AL79" s="132"/>
      <c r="AM79" s="801"/>
      <c r="AN79" s="801"/>
      <c r="AO79" s="348"/>
      <c r="AP79" s="890"/>
      <c r="AQ79" s="665"/>
      <c r="AR79" s="719"/>
      <c r="AS79" s="719"/>
      <c r="AT79" s="719"/>
      <c r="AU79" s="719"/>
      <c r="AV79" s="719"/>
      <c r="AW79" s="655"/>
      <c r="AX79" s="450"/>
      <c r="AY79" s="450"/>
      <c r="AZ79" s="450"/>
      <c r="BA79" s="450"/>
      <c r="BB79" s="450"/>
      <c r="BC79" s="450"/>
      <c r="BD79" s="450"/>
      <c r="BE79" s="450"/>
      <c r="BF79" s="1237"/>
      <c r="BG79" s="450"/>
      <c r="BH79" s="450"/>
      <c r="BI79" s="450"/>
      <c r="BJ79" s="450"/>
      <c r="BK79" s="450"/>
      <c r="BL79" s="450"/>
      <c r="BM79" s="450"/>
      <c r="BN79" s="431" t="s">
        <v>316</v>
      </c>
      <c r="BO79" s="450"/>
      <c r="BP79" s="701" t="str">
        <f t="shared" si="351"/>
        <v xml:space="preserve"> </v>
      </c>
      <c r="BQ79" s="693" t="e">
        <f>'DEGREE MARK SIMULATOR'!CW79</f>
        <v>#NUM!</v>
      </c>
      <c r="BR79" s="367" t="e">
        <f t="shared" si="361"/>
        <v>#NUM!</v>
      </c>
      <c r="BS79" s="81"/>
      <c r="BT79" s="328"/>
      <c r="BW79" s="460"/>
      <c r="BX79" s="196" t="str">
        <f t="shared" si="459"/>
        <v xml:space="preserve"> </v>
      </c>
      <c r="BY79" s="81" t="str">
        <f t="shared" si="353"/>
        <v xml:space="preserve"> </v>
      </c>
      <c r="BZ79" s="78">
        <f t="shared" si="362"/>
        <v>1</v>
      </c>
      <c r="CA79" s="55" t="s">
        <v>316</v>
      </c>
      <c r="CB79" s="132" t="s">
        <v>668</v>
      </c>
      <c r="CC79" s="138" t="s">
        <v>318</v>
      </c>
      <c r="CD79" s="37">
        <v>200</v>
      </c>
      <c r="CE79" s="35">
        <v>40</v>
      </c>
      <c r="CF79" s="35"/>
      <c r="CG79" s="36">
        <v>20</v>
      </c>
      <c r="CH79" s="36">
        <v>20</v>
      </c>
      <c r="CI79" s="37" t="s">
        <v>19</v>
      </c>
      <c r="CJ79" s="598">
        <v>24</v>
      </c>
      <c r="CK79" s="37">
        <v>28</v>
      </c>
      <c r="CL79" s="41" t="s">
        <v>904</v>
      </c>
      <c r="CM79" s="610" t="e">
        <f>CM78</f>
        <v>#NUM!</v>
      </c>
      <c r="CN79" s="41" t="s">
        <v>903</v>
      </c>
      <c r="CO79" s="582" t="e">
        <f>CO78</f>
        <v>#NUM!</v>
      </c>
      <c r="CR79" s="78" t="e">
        <f>CM79*0.65</f>
        <v>#NUM!</v>
      </c>
      <c r="CS79" s="78" t="e">
        <f>CO79*0.35</f>
        <v>#NUM!</v>
      </c>
      <c r="CT79" s="78" t="str">
        <f t="shared" si="413"/>
        <v>35 - 65</v>
      </c>
      <c r="CW79" s="613" t="e">
        <f t="shared" si="410"/>
        <v>#NUM!</v>
      </c>
      <c r="CX79" s="431" t="s">
        <v>316</v>
      </c>
      <c r="IJ79" s="431" t="str">
        <f t="shared" si="414"/>
        <v>Plymouth</v>
      </c>
      <c r="IK79" s="701" t="str">
        <f t="shared" si="415"/>
        <v xml:space="preserve"> </v>
      </c>
      <c r="IM79" s="431" t="s">
        <v>44</v>
      </c>
      <c r="IN79" s="196" t="str">
        <f t="shared" si="416"/>
        <v xml:space="preserve"> </v>
      </c>
      <c r="IO79" s="342"/>
      <c r="IP79" s="342"/>
      <c r="IQ79" s="78">
        <f t="shared" si="469"/>
        <v>4</v>
      </c>
      <c r="IR79" s="439" t="str">
        <f t="shared" si="460"/>
        <v xml:space="preserve"> </v>
      </c>
      <c r="IS79" s="280">
        <f t="shared" si="417"/>
        <v>0</v>
      </c>
      <c r="IT79" s="280">
        <f t="shared" si="418"/>
        <v>0</v>
      </c>
      <c r="IU79" s="280">
        <f t="shared" si="419"/>
        <v>0</v>
      </c>
      <c r="IV79" s="280">
        <f t="shared" si="420"/>
        <v>0</v>
      </c>
      <c r="IW79" s="280">
        <f t="shared" si="421"/>
        <v>0</v>
      </c>
      <c r="IX79" s="280">
        <f t="shared" si="422"/>
        <v>0</v>
      </c>
      <c r="IY79" s="280">
        <f t="shared" si="423"/>
        <v>0</v>
      </c>
      <c r="IZ79" s="280">
        <f t="shared" si="424"/>
        <v>0</v>
      </c>
      <c r="JA79" s="280">
        <f t="shared" si="425"/>
        <v>0</v>
      </c>
      <c r="JB79" s="280">
        <f t="shared" si="426"/>
        <v>0</v>
      </c>
      <c r="JC79" s="280">
        <f t="shared" si="427"/>
        <v>0</v>
      </c>
      <c r="JD79" s="280">
        <f t="shared" si="428"/>
        <v>0</v>
      </c>
      <c r="JE79" s="280">
        <f t="shared" si="429"/>
        <v>0</v>
      </c>
      <c r="JF79" s="280">
        <f t="shared" si="430"/>
        <v>0</v>
      </c>
      <c r="JG79" s="280">
        <f t="shared" si="431"/>
        <v>0</v>
      </c>
      <c r="JH79" s="280">
        <f t="shared" si="432"/>
        <v>0</v>
      </c>
      <c r="JI79" s="280">
        <f t="shared" si="433"/>
        <v>0</v>
      </c>
      <c r="JJ79" s="280">
        <f t="shared" si="434"/>
        <v>0</v>
      </c>
      <c r="JK79" s="280">
        <f t="shared" si="435"/>
        <v>0</v>
      </c>
      <c r="JL79" s="280">
        <f t="shared" si="436"/>
        <v>0</v>
      </c>
      <c r="JM79" s="280">
        <f t="shared" si="437"/>
        <v>0</v>
      </c>
      <c r="JN79" s="280">
        <f t="shared" si="438"/>
        <v>0</v>
      </c>
      <c r="JO79" s="280">
        <f t="shared" si="439"/>
        <v>0</v>
      </c>
      <c r="JP79" s="280">
        <f t="shared" si="440"/>
        <v>0</v>
      </c>
      <c r="JQ79" s="280">
        <f t="shared" si="441"/>
        <v>0</v>
      </c>
      <c r="JR79" s="280">
        <f t="shared" si="442"/>
        <v>0</v>
      </c>
      <c r="JS79" s="44">
        <f t="shared" si="461"/>
        <v>0</v>
      </c>
      <c r="JT79" s="343" t="e">
        <f t="shared" si="462"/>
        <v>#N/A</v>
      </c>
      <c r="JU79" s="431" t="s">
        <v>44</v>
      </c>
      <c r="JV79" s="280">
        <f t="shared" si="445"/>
        <v>0</v>
      </c>
      <c r="JW79" s="280">
        <f t="shared" si="446"/>
        <v>0</v>
      </c>
      <c r="JX79" s="280">
        <f t="shared" si="447"/>
        <v>0</v>
      </c>
      <c r="JY79" s="280">
        <f t="shared" si="448"/>
        <v>0</v>
      </c>
      <c r="JZ79" s="280">
        <f t="shared" si="449"/>
        <v>0</v>
      </c>
      <c r="KA79" s="280">
        <f t="shared" si="450"/>
        <v>0</v>
      </c>
      <c r="KB79" s="44">
        <f t="shared" si="463"/>
        <v>0</v>
      </c>
      <c r="KC79" s="343" t="e">
        <f t="shared" si="464"/>
        <v>#N/A</v>
      </c>
      <c r="KE79" s="280">
        <f t="shared" si="453"/>
        <v>0</v>
      </c>
      <c r="KF79" s="280">
        <f t="shared" si="454"/>
        <v>0</v>
      </c>
      <c r="KG79" s="280">
        <f t="shared" si="455"/>
        <v>0</v>
      </c>
      <c r="KH79" s="78">
        <f t="shared" si="465"/>
        <v>0</v>
      </c>
      <c r="KI79" s="592" t="str">
        <f t="shared" si="466"/>
        <v xml:space="preserve"> </v>
      </c>
      <c r="KJ79" s="280">
        <f t="shared" si="456"/>
        <v>0</v>
      </c>
      <c r="KK79" s="280">
        <f t="shared" si="457"/>
        <v>0</v>
      </c>
      <c r="KL79" s="280">
        <f t="shared" si="458"/>
        <v>0</v>
      </c>
      <c r="KM79" s="78">
        <f t="shared" si="467"/>
        <v>0</v>
      </c>
      <c r="KN79" s="458">
        <f t="shared" si="468"/>
        <v>0</v>
      </c>
      <c r="KO79" s="444"/>
      <c r="KP79" s="218"/>
      <c r="KQ79" s="218"/>
      <c r="NY79" s="544"/>
    </row>
    <row r="80" spans="1:389" ht="16.149999999999999" customHeight="1" x14ac:dyDescent="0.25">
      <c r="A80" s="431" t="str">
        <f t="shared" si="367"/>
        <v>Chester</v>
      </c>
      <c r="B80" s="1092">
        <f t="shared" si="368"/>
        <v>0</v>
      </c>
      <c r="C80" s="1092">
        <f t="shared" si="369"/>
        <v>0</v>
      </c>
      <c r="D80" s="1092">
        <f t="shared" si="370"/>
        <v>0</v>
      </c>
      <c r="E80" s="1092">
        <f t="shared" si="371"/>
        <v>0</v>
      </c>
      <c r="F80" s="1092">
        <f t="shared" si="372"/>
        <v>0</v>
      </c>
      <c r="G80" s="280">
        <f t="shared" si="373"/>
        <v>0</v>
      </c>
      <c r="H80" s="280">
        <f t="shared" si="374"/>
        <v>0</v>
      </c>
      <c r="I80" s="280">
        <f t="shared" si="375"/>
        <v>0</v>
      </c>
      <c r="J80" s="280">
        <f t="shared" si="376"/>
        <v>0</v>
      </c>
      <c r="K80" s="280">
        <f t="shared" si="377"/>
        <v>0</v>
      </c>
      <c r="L80" s="381">
        <f t="shared" si="378"/>
        <v>0</v>
      </c>
      <c r="M80" s="381">
        <f t="shared" si="379"/>
        <v>0</v>
      </c>
      <c r="N80" s="381">
        <f t="shared" si="380"/>
        <v>0</v>
      </c>
      <c r="O80" s="381">
        <f t="shared" si="381"/>
        <v>0</v>
      </c>
      <c r="P80" s="381">
        <f t="shared" si="382"/>
        <v>0</v>
      </c>
      <c r="Q80" s="220"/>
      <c r="R80" s="1090">
        <v>3</v>
      </c>
      <c r="S80" s="657"/>
      <c r="T80" s="1531"/>
      <c r="U80" s="431" t="s">
        <v>319</v>
      </c>
      <c r="V80" s="687"/>
      <c r="W80" s="687"/>
      <c r="X80" s="687"/>
      <c r="Y80" s="686">
        <v>24</v>
      </c>
      <c r="Z80" s="1085">
        <v>3</v>
      </c>
      <c r="AA80" s="1477">
        <v>200</v>
      </c>
      <c r="AB80" s="1477"/>
      <c r="AC80" s="684">
        <v>0</v>
      </c>
      <c r="AD80" s="684">
        <v>20</v>
      </c>
      <c r="AE80" s="684">
        <v>20</v>
      </c>
      <c r="AF80" s="684">
        <v>40</v>
      </c>
      <c r="AG80" s="1477" t="s">
        <v>20</v>
      </c>
      <c r="AH80" s="1477"/>
      <c r="AI80" s="1467" t="str">
        <f t="shared" si="383"/>
        <v xml:space="preserve"> </v>
      </c>
      <c r="AJ80" s="1468"/>
      <c r="AK80" s="707" t="str">
        <f t="shared" si="384"/>
        <v xml:space="preserve"> </v>
      </c>
      <c r="AL80" s="55"/>
      <c r="AM80" s="55"/>
      <c r="AN80" s="801"/>
      <c r="AO80" s="348"/>
      <c r="AP80" s="143"/>
      <c r="AQ80" s="102"/>
      <c r="AR80" s="102"/>
      <c r="AS80" s="102"/>
      <c r="AT80" s="102"/>
      <c r="AU80" s="102"/>
      <c r="AV80" s="102"/>
      <c r="AW80" s="655"/>
      <c r="AX80" s="450"/>
      <c r="AY80" s="450"/>
      <c r="AZ80" s="450"/>
      <c r="BA80" s="450"/>
      <c r="BB80" s="450"/>
      <c r="BC80" s="450"/>
      <c r="BD80" s="450"/>
      <c r="BE80" s="450"/>
      <c r="BF80" s="1237"/>
      <c r="BG80" s="450"/>
      <c r="BH80" s="450"/>
      <c r="BI80" s="450"/>
      <c r="BJ80" s="450"/>
      <c r="BK80" s="450"/>
      <c r="BL80" s="450"/>
      <c r="BM80" s="450"/>
      <c r="BN80" s="431" t="s">
        <v>319</v>
      </c>
      <c r="BO80" s="450"/>
      <c r="BP80" s="701" t="str">
        <f t="shared" si="351"/>
        <v xml:space="preserve"> </v>
      </c>
      <c r="BQ80" s="693" t="e">
        <f>'DEGREE MARK SIMULATOR'!CW80</f>
        <v>#NUM!</v>
      </c>
      <c r="BR80" s="367" t="e">
        <f t="shared" si="361"/>
        <v>#NUM!</v>
      </c>
      <c r="BS80" s="81"/>
      <c r="BT80" s="328"/>
      <c r="BW80" s="460"/>
      <c r="BX80" s="196" t="str">
        <f t="shared" si="459"/>
        <v xml:space="preserve"> </v>
      </c>
      <c r="BY80" s="81" t="str">
        <f t="shared" si="353"/>
        <v xml:space="preserve"> </v>
      </c>
      <c r="BZ80" s="78">
        <f t="shared" si="362"/>
        <v>1</v>
      </c>
      <c r="CA80" s="55" t="s">
        <v>319</v>
      </c>
      <c r="CB80" s="132" t="s">
        <v>669</v>
      </c>
      <c r="CC80" s="138" t="s">
        <v>709</v>
      </c>
      <c r="CD80" s="37">
        <v>200</v>
      </c>
      <c r="CE80" s="35">
        <v>40</v>
      </c>
      <c r="CF80" s="35"/>
      <c r="CG80" s="36">
        <v>20</v>
      </c>
      <c r="CH80" s="36">
        <v>20</v>
      </c>
      <c r="CI80" s="37" t="s">
        <v>20</v>
      </c>
      <c r="CJ80" s="598">
        <v>25</v>
      </c>
      <c r="CK80" s="37">
        <v>29</v>
      </c>
      <c r="CL80" s="41" t="s">
        <v>904</v>
      </c>
      <c r="CM80" s="610" t="e">
        <f t="shared" ref="CM80:CM82" si="470">CM79</f>
        <v>#NUM!</v>
      </c>
      <c r="CN80" s="41" t="s">
        <v>903</v>
      </c>
      <c r="CO80" s="582" t="e">
        <f t="shared" ref="CO80:CO82" si="471">CO79</f>
        <v>#NUM!</v>
      </c>
      <c r="CR80" s="78" t="e">
        <f>CM80*0.67</f>
        <v>#NUM!</v>
      </c>
      <c r="CS80" s="78" t="e">
        <f>CO80*0.33</f>
        <v>#NUM!</v>
      </c>
      <c r="CT80" s="78" t="str">
        <f t="shared" si="413"/>
        <v>33 - 67</v>
      </c>
      <c r="CW80" s="613" t="e">
        <f t="shared" si="410"/>
        <v>#NUM!</v>
      </c>
      <c r="CX80" s="431" t="s">
        <v>319</v>
      </c>
      <c r="IJ80" s="431" t="str">
        <f t="shared" si="414"/>
        <v>LSE</v>
      </c>
      <c r="IK80" s="701" t="str">
        <f t="shared" si="415"/>
        <v xml:space="preserve"> </v>
      </c>
      <c r="IM80" s="431" t="s">
        <v>51</v>
      </c>
      <c r="IN80" s="196" t="str">
        <f t="shared" si="416"/>
        <v xml:space="preserve"> </v>
      </c>
      <c r="IO80" s="342"/>
      <c r="IP80" s="342"/>
      <c r="IQ80" s="78">
        <f t="shared" si="469"/>
        <v>5</v>
      </c>
      <c r="IR80" s="439" t="str">
        <f t="shared" si="460"/>
        <v xml:space="preserve"> </v>
      </c>
      <c r="IS80" s="280">
        <f t="shared" si="417"/>
        <v>0</v>
      </c>
      <c r="IT80" s="280">
        <f t="shared" si="418"/>
        <v>0</v>
      </c>
      <c r="IU80" s="280">
        <f t="shared" si="419"/>
        <v>0</v>
      </c>
      <c r="IV80" s="280">
        <f t="shared" si="420"/>
        <v>0</v>
      </c>
      <c r="IW80" s="280">
        <f t="shared" si="421"/>
        <v>0</v>
      </c>
      <c r="IX80" s="280">
        <f t="shared" si="422"/>
        <v>0</v>
      </c>
      <c r="IY80" s="280">
        <f t="shared" si="423"/>
        <v>0</v>
      </c>
      <c r="IZ80" s="280">
        <f t="shared" si="424"/>
        <v>0</v>
      </c>
      <c r="JA80" s="280">
        <f t="shared" si="425"/>
        <v>0</v>
      </c>
      <c r="JB80" s="280">
        <f t="shared" si="426"/>
        <v>0</v>
      </c>
      <c r="JC80" s="280">
        <f t="shared" si="427"/>
        <v>0</v>
      </c>
      <c r="JD80" s="280">
        <f t="shared" si="428"/>
        <v>0</v>
      </c>
      <c r="JE80" s="280">
        <f t="shared" si="429"/>
        <v>0</v>
      </c>
      <c r="JF80" s="280">
        <f t="shared" si="430"/>
        <v>0</v>
      </c>
      <c r="JG80" s="280">
        <f t="shared" si="431"/>
        <v>0</v>
      </c>
      <c r="JH80" s="280">
        <f t="shared" si="432"/>
        <v>0</v>
      </c>
      <c r="JI80" s="280">
        <f t="shared" si="433"/>
        <v>0</v>
      </c>
      <c r="JJ80" s="280">
        <f t="shared" si="434"/>
        <v>0</v>
      </c>
      <c r="JK80" s="280">
        <f t="shared" si="435"/>
        <v>0</v>
      </c>
      <c r="JL80" s="280">
        <f t="shared" si="436"/>
        <v>0</v>
      </c>
      <c r="JM80" s="280">
        <f t="shared" si="437"/>
        <v>0</v>
      </c>
      <c r="JN80" s="280">
        <f t="shared" si="438"/>
        <v>0</v>
      </c>
      <c r="JO80" s="280">
        <f t="shared" si="439"/>
        <v>0</v>
      </c>
      <c r="JP80" s="280">
        <f t="shared" si="440"/>
        <v>0</v>
      </c>
      <c r="JQ80" s="280">
        <f t="shared" si="441"/>
        <v>0</v>
      </c>
      <c r="JR80" s="280">
        <f t="shared" si="442"/>
        <v>0</v>
      </c>
      <c r="JS80" s="44">
        <f t="shared" si="461"/>
        <v>0</v>
      </c>
      <c r="JT80" s="343" t="e">
        <f t="shared" si="462"/>
        <v>#N/A</v>
      </c>
      <c r="JU80" s="431" t="s">
        <v>51</v>
      </c>
      <c r="JV80" s="280">
        <f t="shared" si="445"/>
        <v>0</v>
      </c>
      <c r="JW80" s="280">
        <f t="shared" si="446"/>
        <v>0</v>
      </c>
      <c r="JX80" s="280">
        <f t="shared" si="447"/>
        <v>0</v>
      </c>
      <c r="JY80" s="280">
        <f t="shared" si="448"/>
        <v>0</v>
      </c>
      <c r="JZ80" s="280">
        <f t="shared" si="449"/>
        <v>0</v>
      </c>
      <c r="KA80" s="280">
        <f t="shared" si="450"/>
        <v>0</v>
      </c>
      <c r="KB80" s="44">
        <f t="shared" si="463"/>
        <v>0</v>
      </c>
      <c r="KC80" s="343" t="e">
        <f t="shared" si="464"/>
        <v>#N/A</v>
      </c>
      <c r="KE80" s="280">
        <f t="shared" si="453"/>
        <v>0</v>
      </c>
      <c r="KF80" s="280">
        <f t="shared" si="454"/>
        <v>0</v>
      </c>
      <c r="KG80" s="280">
        <f t="shared" si="455"/>
        <v>0</v>
      </c>
      <c r="KH80" s="78">
        <f t="shared" si="465"/>
        <v>0</v>
      </c>
      <c r="KI80" s="592" t="str">
        <f t="shared" si="466"/>
        <v xml:space="preserve"> </v>
      </c>
      <c r="KJ80" s="280">
        <f t="shared" si="456"/>
        <v>0</v>
      </c>
      <c r="KK80" s="280">
        <f t="shared" si="457"/>
        <v>0</v>
      </c>
      <c r="KL80" s="280">
        <f t="shared" si="458"/>
        <v>0</v>
      </c>
      <c r="KM80" s="78">
        <f t="shared" si="467"/>
        <v>0</v>
      </c>
      <c r="KN80" s="458">
        <f t="shared" si="468"/>
        <v>0</v>
      </c>
      <c r="KO80" s="444"/>
      <c r="KP80" s="218"/>
      <c r="KQ80" s="218"/>
      <c r="NY80" s="544"/>
    </row>
    <row r="81" spans="1:389" ht="16.149999999999999" customHeight="1" x14ac:dyDescent="0.25">
      <c r="A81" s="431" t="str">
        <f t="shared" si="367"/>
        <v>Bath Spa</v>
      </c>
      <c r="B81" s="1092">
        <f t="shared" si="368"/>
        <v>0</v>
      </c>
      <c r="C81" s="1092">
        <f t="shared" si="369"/>
        <v>0</v>
      </c>
      <c r="D81" s="1092">
        <f t="shared" si="370"/>
        <v>0</v>
      </c>
      <c r="E81" s="1092">
        <f t="shared" si="371"/>
        <v>0</v>
      </c>
      <c r="F81" s="1092">
        <f t="shared" si="372"/>
        <v>0</v>
      </c>
      <c r="G81" s="280">
        <f t="shared" si="373"/>
        <v>0</v>
      </c>
      <c r="H81" s="280">
        <f t="shared" si="374"/>
        <v>0</v>
      </c>
      <c r="I81" s="280">
        <f t="shared" si="375"/>
        <v>0</v>
      </c>
      <c r="J81" s="280">
        <f t="shared" si="376"/>
        <v>0</v>
      </c>
      <c r="K81" s="280">
        <f t="shared" si="377"/>
        <v>0</v>
      </c>
      <c r="L81" s="381">
        <f t="shared" si="378"/>
        <v>0</v>
      </c>
      <c r="M81" s="381">
        <f t="shared" si="379"/>
        <v>0</v>
      </c>
      <c r="N81" s="381">
        <f t="shared" si="380"/>
        <v>0</v>
      </c>
      <c r="O81" s="381">
        <f t="shared" si="381"/>
        <v>0</v>
      </c>
      <c r="P81" s="381">
        <f t="shared" si="382"/>
        <v>0</v>
      </c>
      <c r="Q81" s="220"/>
      <c r="R81" s="1090">
        <v>5</v>
      </c>
      <c r="S81" s="657"/>
      <c r="T81" s="1531"/>
      <c r="U81" s="431" t="s">
        <v>328</v>
      </c>
      <c r="V81" s="687"/>
      <c r="W81" s="687"/>
      <c r="X81" s="687"/>
      <c r="Y81" s="686">
        <v>25</v>
      </c>
      <c r="Z81" s="1085">
        <v>5</v>
      </c>
      <c r="AA81" s="1477">
        <v>200</v>
      </c>
      <c r="AB81" s="1477"/>
      <c r="AC81" s="684">
        <v>0</v>
      </c>
      <c r="AD81" s="684">
        <v>20</v>
      </c>
      <c r="AE81" s="684">
        <v>20</v>
      </c>
      <c r="AF81" s="684">
        <v>40</v>
      </c>
      <c r="AG81" s="1477" t="s">
        <v>22</v>
      </c>
      <c r="AH81" s="1477"/>
      <c r="AI81" s="1467" t="str">
        <f t="shared" si="383"/>
        <v xml:space="preserve"> </v>
      </c>
      <c r="AJ81" s="1468"/>
      <c r="AK81" s="707" t="str">
        <f t="shared" si="384"/>
        <v xml:space="preserve"> </v>
      </c>
      <c r="AL81" s="706"/>
      <c r="AM81" s="706"/>
      <c r="AN81" s="801"/>
      <c r="AO81" s="348"/>
      <c r="AP81" s="143"/>
      <c r="AQ81" s="55"/>
      <c r="AR81" s="55"/>
      <c r="AS81" s="55"/>
      <c r="AT81" s="55"/>
      <c r="AU81" s="55"/>
      <c r="AV81" s="55"/>
      <c r="AW81" s="655"/>
      <c r="AX81" s="450"/>
      <c r="AY81" s="450"/>
      <c r="AZ81" s="450"/>
      <c r="BA81" s="450"/>
      <c r="BB81" s="450"/>
      <c r="BC81" s="450"/>
      <c r="BD81" s="450"/>
      <c r="BE81" s="450"/>
      <c r="BF81" s="1237"/>
      <c r="BG81" s="450"/>
      <c r="BH81" s="450"/>
      <c r="BI81" s="450"/>
      <c r="BJ81" s="450"/>
      <c r="BK81" s="450"/>
      <c r="BL81" s="450"/>
      <c r="BM81" s="450"/>
      <c r="BN81" s="431" t="s">
        <v>328</v>
      </c>
      <c r="BO81" s="450"/>
      <c r="BP81" s="701" t="str">
        <f t="shared" si="351"/>
        <v xml:space="preserve"> </v>
      </c>
      <c r="BQ81" s="693" t="e">
        <f>'DEGREE MARK SIMULATOR'!CW81</f>
        <v>#NUM!</v>
      </c>
      <c r="BR81" s="367" t="e">
        <f t="shared" si="361"/>
        <v>#NUM!</v>
      </c>
      <c r="BS81" s="81"/>
      <c r="BT81" s="328"/>
      <c r="BX81" s="196" t="str">
        <f t="shared" si="459"/>
        <v xml:space="preserve"> </v>
      </c>
      <c r="BY81" s="81" t="str">
        <f t="shared" si="353"/>
        <v xml:space="preserve"> </v>
      </c>
      <c r="BZ81" s="78">
        <f t="shared" si="362"/>
        <v>1</v>
      </c>
      <c r="CA81" s="55" t="s">
        <v>328</v>
      </c>
      <c r="CB81" s="132" t="s">
        <v>330</v>
      </c>
      <c r="CC81" s="138" t="s">
        <v>744</v>
      </c>
      <c r="CD81" s="37">
        <v>200</v>
      </c>
      <c r="CE81" s="35">
        <v>40</v>
      </c>
      <c r="CF81" s="35"/>
      <c r="CG81" s="36">
        <v>20</v>
      </c>
      <c r="CH81" s="36">
        <v>20</v>
      </c>
      <c r="CI81" s="37" t="s">
        <v>22</v>
      </c>
      <c r="CJ81" s="599">
        <v>26</v>
      </c>
      <c r="CK81" s="37">
        <v>30</v>
      </c>
      <c r="CL81" s="41" t="s">
        <v>904</v>
      </c>
      <c r="CM81" s="610" t="e">
        <f t="shared" si="470"/>
        <v>#NUM!</v>
      </c>
      <c r="CN81" s="41" t="s">
        <v>903</v>
      </c>
      <c r="CO81" s="582" t="e">
        <f t="shared" si="471"/>
        <v>#NUM!</v>
      </c>
      <c r="CR81" s="78" t="e">
        <f>CM81*0.7</f>
        <v>#NUM!</v>
      </c>
      <c r="CS81" s="78" t="e">
        <f>CO81*0.3</f>
        <v>#NUM!</v>
      </c>
      <c r="CT81" s="78" t="str">
        <f t="shared" si="413"/>
        <v>30 - 70</v>
      </c>
      <c r="CW81" s="613" t="e">
        <f t="shared" si="410"/>
        <v>#NUM!</v>
      </c>
      <c r="CX81" s="431" t="s">
        <v>328</v>
      </c>
      <c r="IJ81" s="431" t="str">
        <f t="shared" si="414"/>
        <v>Goldsmiths</v>
      </c>
      <c r="IK81" s="701" t="str">
        <f t="shared" si="415"/>
        <v xml:space="preserve"> </v>
      </c>
      <c r="IM81" s="457" t="s">
        <v>55</v>
      </c>
      <c r="IN81" s="196" t="str">
        <f t="shared" si="416"/>
        <v xml:space="preserve"> </v>
      </c>
      <c r="IO81" s="342"/>
      <c r="IP81" s="342"/>
      <c r="IQ81" s="78">
        <f t="shared" si="469"/>
        <v>6</v>
      </c>
      <c r="IR81" s="439" t="str">
        <f t="shared" si="460"/>
        <v xml:space="preserve"> </v>
      </c>
      <c r="IS81" s="280">
        <f t="shared" si="417"/>
        <v>0</v>
      </c>
      <c r="IT81" s="280">
        <f t="shared" si="418"/>
        <v>0</v>
      </c>
      <c r="IU81" s="280">
        <f t="shared" si="419"/>
        <v>0</v>
      </c>
      <c r="IV81" s="280">
        <f t="shared" si="420"/>
        <v>0</v>
      </c>
      <c r="IW81" s="280">
        <f t="shared" si="421"/>
        <v>0</v>
      </c>
      <c r="IX81" s="280">
        <f t="shared" si="422"/>
        <v>0</v>
      </c>
      <c r="IY81" s="280">
        <f t="shared" si="423"/>
        <v>0</v>
      </c>
      <c r="IZ81" s="280">
        <f t="shared" si="424"/>
        <v>0</v>
      </c>
      <c r="JA81" s="280">
        <f t="shared" si="425"/>
        <v>0</v>
      </c>
      <c r="JB81" s="280">
        <f t="shared" si="426"/>
        <v>0</v>
      </c>
      <c r="JC81" s="280">
        <f t="shared" si="427"/>
        <v>0</v>
      </c>
      <c r="JD81" s="280">
        <f t="shared" si="428"/>
        <v>0</v>
      </c>
      <c r="JE81" s="280">
        <f t="shared" si="429"/>
        <v>0</v>
      </c>
      <c r="JF81" s="280">
        <f t="shared" si="430"/>
        <v>0</v>
      </c>
      <c r="JG81" s="280">
        <f t="shared" si="431"/>
        <v>0</v>
      </c>
      <c r="JH81" s="280">
        <f t="shared" si="432"/>
        <v>0</v>
      </c>
      <c r="JI81" s="280">
        <f t="shared" si="433"/>
        <v>0</v>
      </c>
      <c r="JJ81" s="280">
        <f t="shared" si="434"/>
        <v>0</v>
      </c>
      <c r="JK81" s="280">
        <f t="shared" si="435"/>
        <v>0</v>
      </c>
      <c r="JL81" s="280">
        <f t="shared" si="436"/>
        <v>0</v>
      </c>
      <c r="JM81" s="280">
        <f t="shared" si="437"/>
        <v>0</v>
      </c>
      <c r="JN81" s="280">
        <f t="shared" si="438"/>
        <v>0</v>
      </c>
      <c r="JO81" s="280">
        <f t="shared" si="439"/>
        <v>0</v>
      </c>
      <c r="JP81" s="280">
        <f t="shared" si="440"/>
        <v>0</v>
      </c>
      <c r="JQ81" s="280">
        <f t="shared" si="441"/>
        <v>0</v>
      </c>
      <c r="JR81" s="280">
        <f t="shared" si="442"/>
        <v>0</v>
      </c>
      <c r="JS81" s="44">
        <f t="shared" si="461"/>
        <v>0</v>
      </c>
      <c r="JT81" s="343" t="e">
        <f t="shared" si="462"/>
        <v>#N/A</v>
      </c>
      <c r="JU81" s="431" t="s">
        <v>55</v>
      </c>
      <c r="JV81" s="280">
        <f t="shared" si="445"/>
        <v>0</v>
      </c>
      <c r="JW81" s="280">
        <f t="shared" si="446"/>
        <v>0</v>
      </c>
      <c r="JX81" s="280">
        <f t="shared" si="447"/>
        <v>0</v>
      </c>
      <c r="JY81" s="280">
        <f t="shared" si="448"/>
        <v>0</v>
      </c>
      <c r="JZ81" s="280">
        <f t="shared" si="449"/>
        <v>0</v>
      </c>
      <c r="KA81" s="280">
        <f t="shared" si="450"/>
        <v>0</v>
      </c>
      <c r="KB81" s="44">
        <f t="shared" si="463"/>
        <v>0</v>
      </c>
      <c r="KC81" s="343" t="e">
        <f t="shared" si="464"/>
        <v>#N/A</v>
      </c>
      <c r="KE81" s="280">
        <f t="shared" si="453"/>
        <v>0</v>
      </c>
      <c r="KF81" s="280">
        <f t="shared" si="454"/>
        <v>0</v>
      </c>
      <c r="KG81" s="280">
        <f t="shared" si="455"/>
        <v>0</v>
      </c>
      <c r="KH81" s="78">
        <f t="shared" si="465"/>
        <v>0</v>
      </c>
      <c r="KI81" s="592" t="str">
        <f t="shared" si="466"/>
        <v xml:space="preserve"> </v>
      </c>
      <c r="KJ81" s="280">
        <f t="shared" si="456"/>
        <v>0</v>
      </c>
      <c r="KK81" s="280">
        <f t="shared" si="457"/>
        <v>0</v>
      </c>
      <c r="KL81" s="280">
        <f t="shared" si="458"/>
        <v>0</v>
      </c>
      <c r="KM81" s="78">
        <f t="shared" si="467"/>
        <v>0</v>
      </c>
      <c r="KN81" s="458">
        <f t="shared" si="468"/>
        <v>0</v>
      </c>
      <c r="KO81" s="444"/>
      <c r="KP81" s="218"/>
      <c r="KQ81" s="218"/>
      <c r="NY81" s="544"/>
    </row>
    <row r="82" spans="1:389" ht="16.149999999999999" customHeight="1" x14ac:dyDescent="0.25">
      <c r="A82" s="431" t="str">
        <f t="shared" ref="A82:A94" si="472">JU102</f>
        <v>UWE</v>
      </c>
      <c r="B82" s="1092">
        <f t="shared" si="368"/>
        <v>0</v>
      </c>
      <c r="C82" s="1092">
        <f t="shared" si="369"/>
        <v>0</v>
      </c>
      <c r="D82" s="1092">
        <f t="shared" si="370"/>
        <v>0</v>
      </c>
      <c r="E82" s="1092">
        <f t="shared" si="371"/>
        <v>0</v>
      </c>
      <c r="F82" s="1092">
        <f t="shared" si="372"/>
        <v>0</v>
      </c>
      <c r="G82" s="280">
        <f t="shared" si="373"/>
        <v>0</v>
      </c>
      <c r="H82" s="280">
        <f t="shared" si="374"/>
        <v>0</v>
      </c>
      <c r="I82" s="280">
        <f t="shared" si="375"/>
        <v>0</v>
      </c>
      <c r="J82" s="280">
        <f t="shared" si="376"/>
        <v>0</v>
      </c>
      <c r="K82" s="280">
        <f t="shared" si="377"/>
        <v>0</v>
      </c>
      <c r="L82" s="381">
        <f t="shared" si="378"/>
        <v>0</v>
      </c>
      <c r="M82" s="381">
        <f t="shared" si="379"/>
        <v>0</v>
      </c>
      <c r="N82" s="381">
        <f t="shared" si="380"/>
        <v>0</v>
      </c>
      <c r="O82" s="381">
        <f>IF(J82=1,R82,0)</f>
        <v>0</v>
      </c>
      <c r="P82" s="381">
        <f t="shared" si="382"/>
        <v>0</v>
      </c>
      <c r="Q82" s="220"/>
      <c r="R82" s="1090">
        <v>2</v>
      </c>
      <c r="S82" s="657"/>
      <c r="T82" s="1531"/>
      <c r="U82" s="431" t="s">
        <v>357</v>
      </c>
      <c r="V82" s="687"/>
      <c r="W82" s="687"/>
      <c r="X82" s="687"/>
      <c r="Y82" s="686">
        <v>26</v>
      </c>
      <c r="Z82" s="1085">
        <v>2</v>
      </c>
      <c r="AA82" s="1477">
        <v>200</v>
      </c>
      <c r="AB82" s="1477"/>
      <c r="AC82" s="684">
        <v>0</v>
      </c>
      <c r="AD82" s="684">
        <v>20</v>
      </c>
      <c r="AE82" s="684">
        <v>20</v>
      </c>
      <c r="AF82" s="684">
        <v>40</v>
      </c>
      <c r="AG82" s="1477" t="s">
        <v>23</v>
      </c>
      <c r="AH82" s="1477"/>
      <c r="AI82" s="1467" t="str">
        <f t="shared" si="383"/>
        <v xml:space="preserve"> </v>
      </c>
      <c r="AJ82" s="1468"/>
      <c r="AK82" s="707" t="str">
        <f t="shared" si="384"/>
        <v xml:space="preserve"> </v>
      </c>
      <c r="AL82" s="706"/>
      <c r="AM82" s="706"/>
      <c r="AN82" s="801"/>
      <c r="AO82" s="348"/>
      <c r="AP82" s="143"/>
      <c r="AQ82" s="55"/>
      <c r="AR82" s="55"/>
      <c r="AS82" s="55"/>
      <c r="AT82" s="55"/>
      <c r="AU82" s="55"/>
      <c r="AV82" s="55"/>
      <c r="AW82" s="655"/>
      <c r="AX82" s="450"/>
      <c r="AY82" s="450"/>
      <c r="AZ82" s="450"/>
      <c r="BA82" s="450"/>
      <c r="BB82" s="450"/>
      <c r="BC82" s="450"/>
      <c r="BD82" s="450"/>
      <c r="BE82" s="450"/>
      <c r="BF82" s="1237"/>
      <c r="BG82" s="450"/>
      <c r="BH82" s="450"/>
      <c r="BI82" s="450"/>
      <c r="BJ82" s="450"/>
      <c r="BK82" s="450"/>
      <c r="BL82" s="450"/>
      <c r="BM82" s="450"/>
      <c r="BN82" s="431" t="s">
        <v>357</v>
      </c>
      <c r="BO82" s="450"/>
      <c r="BP82" s="701" t="str">
        <f t="shared" si="351"/>
        <v xml:space="preserve"> </v>
      </c>
      <c r="BQ82" s="693" t="e">
        <f>BX42</f>
        <v>#NUM!</v>
      </c>
      <c r="BR82" s="367" t="e">
        <f t="shared" si="361"/>
        <v>#NUM!</v>
      </c>
      <c r="BS82" s="81"/>
      <c r="BT82" s="328"/>
      <c r="BU82" s="317"/>
      <c r="BX82" s="196" t="str">
        <f t="shared" si="459"/>
        <v xml:space="preserve"> </v>
      </c>
      <c r="BY82" s="81" t="str">
        <f t="shared" si="353"/>
        <v xml:space="preserve"> </v>
      </c>
      <c r="BZ82" s="78">
        <f t="shared" si="362"/>
        <v>1</v>
      </c>
      <c r="CA82" s="165" t="s">
        <v>357</v>
      </c>
      <c r="CB82" s="132" t="s">
        <v>343</v>
      </c>
      <c r="CC82" s="138" t="s">
        <v>344</v>
      </c>
      <c r="CD82" s="37">
        <v>200</v>
      </c>
      <c r="CE82" s="35">
        <v>40</v>
      </c>
      <c r="CF82" s="35"/>
      <c r="CG82" s="36">
        <v>20</v>
      </c>
      <c r="CH82" s="36">
        <v>20</v>
      </c>
      <c r="CI82" s="37" t="s">
        <v>23</v>
      </c>
      <c r="CJ82" s="598">
        <v>27</v>
      </c>
      <c r="CK82" s="37">
        <v>31</v>
      </c>
      <c r="CL82" s="41" t="s">
        <v>904</v>
      </c>
      <c r="CM82" s="610" t="e">
        <f t="shared" si="470"/>
        <v>#NUM!</v>
      </c>
      <c r="CN82" s="41" t="s">
        <v>903</v>
      </c>
      <c r="CO82" s="582" t="e">
        <f t="shared" si="471"/>
        <v>#NUM!</v>
      </c>
      <c r="CR82" s="78" t="e">
        <f>CM82*0.75</f>
        <v>#NUM!</v>
      </c>
      <c r="CS82" s="78" t="e">
        <f>CO82*0.25</f>
        <v>#NUM!</v>
      </c>
      <c r="CT82" s="78" t="str">
        <f t="shared" si="413"/>
        <v>25 - 75</v>
      </c>
      <c r="CW82" s="613" t="e">
        <f>$BX$42</f>
        <v>#NUM!</v>
      </c>
      <c r="CX82" s="431" t="s">
        <v>357</v>
      </c>
      <c r="IJ82" s="431" t="str">
        <f t="shared" si="414"/>
        <v>Swansea</v>
      </c>
      <c r="IK82" s="701" t="str">
        <f t="shared" si="415"/>
        <v xml:space="preserve"> </v>
      </c>
      <c r="IM82" s="454" t="s">
        <v>402</v>
      </c>
      <c r="IN82" s="196" t="str">
        <f t="shared" si="416"/>
        <v xml:space="preserve"> </v>
      </c>
      <c r="IO82" s="342"/>
      <c r="IP82" s="342"/>
      <c r="IQ82" s="78">
        <f>IQ81+1</f>
        <v>7</v>
      </c>
      <c r="IR82" s="439" t="str">
        <f t="shared" ref="IR82:IR101" si="473">AI62</f>
        <v xml:space="preserve"> </v>
      </c>
      <c r="IS82" s="280">
        <f t="shared" si="417"/>
        <v>0</v>
      </c>
      <c r="IT82" s="280">
        <f t="shared" si="418"/>
        <v>0</v>
      </c>
      <c r="IU82" s="280">
        <f t="shared" si="419"/>
        <v>0</v>
      </c>
      <c r="IV82" s="280">
        <f t="shared" si="420"/>
        <v>0</v>
      </c>
      <c r="IW82" s="280">
        <f t="shared" si="421"/>
        <v>0</v>
      </c>
      <c r="IX82" s="280">
        <f t="shared" si="422"/>
        <v>0</v>
      </c>
      <c r="IY82" s="280">
        <f t="shared" si="423"/>
        <v>0</v>
      </c>
      <c r="IZ82" s="280">
        <f t="shared" si="424"/>
        <v>0</v>
      </c>
      <c r="JA82" s="280">
        <f t="shared" si="425"/>
        <v>0</v>
      </c>
      <c r="JB82" s="280">
        <f t="shared" si="426"/>
        <v>0</v>
      </c>
      <c r="JC82" s="280">
        <f t="shared" si="427"/>
        <v>0</v>
      </c>
      <c r="JD82" s="280">
        <f t="shared" si="428"/>
        <v>0</v>
      </c>
      <c r="JE82" s="280">
        <f t="shared" si="429"/>
        <v>0</v>
      </c>
      <c r="JF82" s="280">
        <f t="shared" si="430"/>
        <v>0</v>
      </c>
      <c r="JG82" s="280">
        <f t="shared" si="431"/>
        <v>0</v>
      </c>
      <c r="JH82" s="280">
        <f t="shared" si="432"/>
        <v>0</v>
      </c>
      <c r="JI82" s="280">
        <f t="shared" si="433"/>
        <v>0</v>
      </c>
      <c r="JJ82" s="280">
        <f t="shared" si="434"/>
        <v>0</v>
      </c>
      <c r="JK82" s="280">
        <f t="shared" si="435"/>
        <v>0</v>
      </c>
      <c r="JL82" s="280">
        <f t="shared" si="436"/>
        <v>0</v>
      </c>
      <c r="JM82" s="280">
        <f t="shared" si="437"/>
        <v>0</v>
      </c>
      <c r="JN82" s="280">
        <f t="shared" si="438"/>
        <v>0</v>
      </c>
      <c r="JO82" s="280">
        <f t="shared" si="439"/>
        <v>0</v>
      </c>
      <c r="JP82" s="280">
        <f t="shared" si="440"/>
        <v>0</v>
      </c>
      <c r="JQ82" s="280">
        <f t="shared" si="441"/>
        <v>0</v>
      </c>
      <c r="JR82" s="280">
        <f t="shared" si="442"/>
        <v>0</v>
      </c>
      <c r="JS82" s="44">
        <f t="shared" si="461"/>
        <v>0</v>
      </c>
      <c r="JT82" s="343" t="e">
        <f t="shared" si="462"/>
        <v>#N/A</v>
      </c>
      <c r="JU82" s="431" t="s">
        <v>402</v>
      </c>
      <c r="JV82" s="280">
        <f t="shared" si="445"/>
        <v>0</v>
      </c>
      <c r="JW82" s="280">
        <f t="shared" si="446"/>
        <v>0</v>
      </c>
      <c r="JX82" s="280">
        <f t="shared" si="447"/>
        <v>0</v>
      </c>
      <c r="JY82" s="280">
        <f t="shared" si="448"/>
        <v>0</v>
      </c>
      <c r="JZ82" s="280">
        <f t="shared" si="449"/>
        <v>0</v>
      </c>
      <c r="KA82" s="280">
        <f t="shared" si="450"/>
        <v>0</v>
      </c>
      <c r="KB82" s="44">
        <f t="shared" si="463"/>
        <v>0</v>
      </c>
      <c r="KC82" s="343" t="e">
        <f t="shared" si="464"/>
        <v>#N/A</v>
      </c>
      <c r="KE82" s="280">
        <f t="shared" si="453"/>
        <v>0</v>
      </c>
      <c r="KF82" s="280">
        <f t="shared" si="454"/>
        <v>0</v>
      </c>
      <c r="KG82" s="280">
        <f t="shared" si="455"/>
        <v>0</v>
      </c>
      <c r="KH82" s="78">
        <f t="shared" si="465"/>
        <v>0</v>
      </c>
      <c r="KI82" s="592" t="str">
        <f t="shared" si="466"/>
        <v xml:space="preserve"> </v>
      </c>
      <c r="KJ82" s="280">
        <f t="shared" si="456"/>
        <v>0</v>
      </c>
      <c r="KK82" s="280">
        <f t="shared" si="457"/>
        <v>0</v>
      </c>
      <c r="KL82" s="280">
        <f t="shared" si="458"/>
        <v>0</v>
      </c>
      <c r="KM82" s="78">
        <f t="shared" si="467"/>
        <v>0</v>
      </c>
      <c r="KN82" s="458">
        <f t="shared" si="468"/>
        <v>0</v>
      </c>
      <c r="KO82" s="444"/>
      <c r="KP82" s="218"/>
      <c r="KQ82" s="218"/>
      <c r="NY82" s="544"/>
    </row>
    <row r="83" spans="1:389" ht="16.149999999999999" customHeight="1" x14ac:dyDescent="0.25">
      <c r="A83" s="431" t="str">
        <f t="shared" si="472"/>
        <v>Leeds Becket</v>
      </c>
      <c r="B83" s="1092">
        <f t="shared" ref="B83" si="474">JW103</f>
        <v>0</v>
      </c>
      <c r="C83" s="1092">
        <f t="shared" ref="C83" si="475">JX103</f>
        <v>0</v>
      </c>
      <c r="D83" s="1092">
        <f t="shared" ref="D83" si="476">JY103</f>
        <v>0</v>
      </c>
      <c r="E83" s="1092">
        <f t="shared" ref="E83" si="477">JZ103</f>
        <v>0</v>
      </c>
      <c r="F83" s="1092">
        <f t="shared" ref="F83" si="478">KA103</f>
        <v>0</v>
      </c>
      <c r="G83" s="280">
        <f t="shared" ref="G83" si="479">IF(B83&gt;0,1,0)</f>
        <v>0</v>
      </c>
      <c r="H83" s="280">
        <f t="shared" ref="H83" si="480">IF(C83&gt;0,1,0)</f>
        <v>0</v>
      </c>
      <c r="I83" s="280">
        <f t="shared" ref="I83" si="481">IF(D83&gt;0,1,0)</f>
        <v>0</v>
      </c>
      <c r="J83" s="280">
        <f t="shared" ref="J83" si="482">IF(E83&gt;0,1,0)</f>
        <v>0</v>
      </c>
      <c r="K83" s="280">
        <f t="shared" ref="K83" si="483">IF(F83&gt;0,1,0)</f>
        <v>0</v>
      </c>
      <c r="L83" s="381">
        <f t="shared" ref="L83" si="484">IF(G83=1,R83,0)</f>
        <v>0</v>
      </c>
      <c r="M83" s="381">
        <f t="shared" ref="M83" si="485">IF(H83=1,R83,0)</f>
        <v>0</v>
      </c>
      <c r="N83" s="381">
        <f t="shared" ref="N83" si="486">IF(I83=1,R83,0)</f>
        <v>0</v>
      </c>
      <c r="O83" s="381">
        <f t="shared" ref="O83" si="487">IF(J83=1,R83,0)</f>
        <v>0</v>
      </c>
      <c r="P83" s="381">
        <f t="shared" ref="P83" si="488">IF(K83=1,R83,0)</f>
        <v>0</v>
      </c>
      <c r="Q83" s="220"/>
      <c r="R83" s="1090">
        <v>3</v>
      </c>
      <c r="S83" s="657"/>
      <c r="T83" s="1531"/>
      <c r="U83" s="431" t="s">
        <v>345</v>
      </c>
      <c r="V83" s="687"/>
      <c r="W83" s="687"/>
      <c r="X83" s="687"/>
      <c r="Y83" s="686">
        <v>26</v>
      </c>
      <c r="Z83" s="1085">
        <v>3</v>
      </c>
      <c r="AA83" s="1477">
        <v>200</v>
      </c>
      <c r="AB83" s="1477"/>
      <c r="AC83" s="684"/>
      <c r="AD83" s="684">
        <v>20</v>
      </c>
      <c r="AE83" s="684">
        <v>20</v>
      </c>
      <c r="AF83" s="684">
        <v>40</v>
      </c>
      <c r="AG83" s="1477" t="s">
        <v>23</v>
      </c>
      <c r="AH83" s="1477"/>
      <c r="AI83" s="1468" t="str">
        <f t="shared" ref="AI83:AI91" si="489">BP83</f>
        <v xml:space="preserve"> </v>
      </c>
      <c r="AJ83" s="1478"/>
      <c r="AK83" s="707" t="str">
        <f>BY83</f>
        <v xml:space="preserve"> </v>
      </c>
      <c r="AL83" s="706"/>
      <c r="AM83" s="706"/>
      <c r="AN83" s="801"/>
      <c r="AO83" s="348"/>
      <c r="AP83" s="143"/>
      <c r="AQ83" s="55"/>
      <c r="AR83" s="55"/>
      <c r="AS83" s="55"/>
      <c r="AT83" s="55"/>
      <c r="AU83" s="55"/>
      <c r="AV83" s="55"/>
      <c r="AW83" s="655"/>
      <c r="AX83" s="450"/>
      <c r="AY83" s="450"/>
      <c r="AZ83" s="450"/>
      <c r="BA83" s="450"/>
      <c r="BB83" s="450"/>
      <c r="BC83" s="450"/>
      <c r="BD83" s="450"/>
      <c r="BE83" s="450"/>
      <c r="BF83" s="1237"/>
      <c r="BG83" s="450"/>
      <c r="BH83" s="450"/>
      <c r="BI83" s="450"/>
      <c r="BJ83" s="450"/>
      <c r="BK83" s="450"/>
      <c r="BL83" s="450"/>
      <c r="BM83" s="450"/>
      <c r="BN83" s="431" t="s">
        <v>1288</v>
      </c>
      <c r="BO83" s="450"/>
      <c r="BP83" s="1062" t="str">
        <f>IF($BP$54=6,BR83," ")</f>
        <v xml:space="preserve"> </v>
      </c>
      <c r="BQ83" s="1067" t="e">
        <f>'DEGREE MARK SIMULATOR'!CW83</f>
        <v>#NUM!</v>
      </c>
      <c r="BR83" s="1064" t="e">
        <f>ROUND(BQ83,2)</f>
        <v>#NUM!</v>
      </c>
      <c r="BS83" s="81"/>
      <c r="BT83" s="328"/>
      <c r="BU83" s="317"/>
      <c r="BX83" s="196" t="str">
        <f t="shared" ref="BX83:BX97" si="490">IN103</f>
        <v xml:space="preserve"> </v>
      </c>
      <c r="BY83" s="81" t="str">
        <f>IF($BP$54=6,BX83," ")</f>
        <v xml:space="preserve"> </v>
      </c>
      <c r="CA83" s="165"/>
      <c r="CB83" s="132"/>
      <c r="CC83" s="138"/>
      <c r="CD83" s="37"/>
      <c r="CE83" s="35"/>
      <c r="CF83" s="35"/>
      <c r="CG83" s="36"/>
      <c r="CH83" s="36"/>
      <c r="CI83" s="36">
        <v>20</v>
      </c>
      <c r="CJ83" s="36">
        <v>20</v>
      </c>
      <c r="CK83" s="37" t="s">
        <v>23</v>
      </c>
      <c r="CL83" s="41" t="s">
        <v>904</v>
      </c>
      <c r="CM83" s="610" t="e">
        <f>$HK$49</f>
        <v>#NUM!</v>
      </c>
      <c r="CN83" s="41" t="s">
        <v>903</v>
      </c>
      <c r="CO83" s="1236" t="e">
        <f>$ER$49</f>
        <v>#NUM!</v>
      </c>
      <c r="CR83" s="78" t="e">
        <f>CM83*0.75</f>
        <v>#NUM!</v>
      </c>
      <c r="CS83" s="78" t="e">
        <f>CO83*0.25</f>
        <v>#NUM!</v>
      </c>
      <c r="CW83" s="613" t="e">
        <f>CS83+CR83</f>
        <v>#NUM!</v>
      </c>
      <c r="IJ83" s="431" t="str">
        <f t="shared" si="414"/>
        <v>London South Bank</v>
      </c>
      <c r="IK83" s="701" t="str">
        <f t="shared" si="415"/>
        <v xml:space="preserve"> </v>
      </c>
      <c r="IM83" s="431" t="s">
        <v>273</v>
      </c>
      <c r="IN83" s="196" t="str">
        <f t="shared" si="416"/>
        <v xml:space="preserve"> </v>
      </c>
      <c r="IO83" s="342"/>
      <c r="IP83" s="342"/>
      <c r="IQ83" s="78">
        <f t="shared" si="469"/>
        <v>8</v>
      </c>
      <c r="IR83" s="439" t="str">
        <f t="shared" si="473"/>
        <v xml:space="preserve"> </v>
      </c>
      <c r="IS83" s="280">
        <f t="shared" si="417"/>
        <v>0</v>
      </c>
      <c r="IT83" s="280">
        <f t="shared" si="418"/>
        <v>0</v>
      </c>
      <c r="IU83" s="280">
        <f t="shared" si="419"/>
        <v>0</v>
      </c>
      <c r="IV83" s="280">
        <f t="shared" si="420"/>
        <v>0</v>
      </c>
      <c r="IW83" s="280">
        <f t="shared" si="421"/>
        <v>0</v>
      </c>
      <c r="IX83" s="280">
        <f t="shared" si="422"/>
        <v>0</v>
      </c>
      <c r="IY83" s="280">
        <f t="shared" si="423"/>
        <v>0</v>
      </c>
      <c r="IZ83" s="280">
        <f t="shared" si="424"/>
        <v>0</v>
      </c>
      <c r="JA83" s="280">
        <f t="shared" si="425"/>
        <v>0</v>
      </c>
      <c r="JB83" s="280">
        <f t="shared" si="426"/>
        <v>0</v>
      </c>
      <c r="JC83" s="280">
        <f t="shared" si="427"/>
        <v>0</v>
      </c>
      <c r="JD83" s="280">
        <f t="shared" si="428"/>
        <v>0</v>
      </c>
      <c r="JE83" s="280">
        <f t="shared" si="429"/>
        <v>0</v>
      </c>
      <c r="JF83" s="280">
        <f t="shared" si="430"/>
        <v>0</v>
      </c>
      <c r="JG83" s="280">
        <f t="shared" si="431"/>
        <v>0</v>
      </c>
      <c r="JH83" s="280">
        <f t="shared" si="432"/>
        <v>0</v>
      </c>
      <c r="JI83" s="280">
        <f t="shared" si="433"/>
        <v>0</v>
      </c>
      <c r="JJ83" s="280">
        <f t="shared" si="434"/>
        <v>0</v>
      </c>
      <c r="JK83" s="280">
        <f t="shared" si="435"/>
        <v>0</v>
      </c>
      <c r="JL83" s="280">
        <f t="shared" si="436"/>
        <v>0</v>
      </c>
      <c r="JM83" s="280">
        <f t="shared" si="437"/>
        <v>0</v>
      </c>
      <c r="JN83" s="280">
        <f t="shared" si="438"/>
        <v>0</v>
      </c>
      <c r="JO83" s="280">
        <f t="shared" si="439"/>
        <v>0</v>
      </c>
      <c r="JP83" s="280">
        <f t="shared" si="440"/>
        <v>0</v>
      </c>
      <c r="JQ83" s="280">
        <f t="shared" si="441"/>
        <v>0</v>
      </c>
      <c r="JR83" s="280">
        <f t="shared" si="442"/>
        <v>0</v>
      </c>
      <c r="JS83" s="44">
        <f t="shared" si="461"/>
        <v>0</v>
      </c>
      <c r="JT83" s="343" t="e">
        <f t="shared" si="462"/>
        <v>#N/A</v>
      </c>
      <c r="JU83" s="431" t="s">
        <v>273</v>
      </c>
      <c r="JV83" s="280">
        <f t="shared" si="445"/>
        <v>0</v>
      </c>
      <c r="JW83" s="280">
        <f t="shared" si="446"/>
        <v>0</v>
      </c>
      <c r="JX83" s="280">
        <f t="shared" si="447"/>
        <v>0</v>
      </c>
      <c r="JY83" s="280">
        <f t="shared" si="448"/>
        <v>0</v>
      </c>
      <c r="JZ83" s="280">
        <f t="shared" si="449"/>
        <v>0</v>
      </c>
      <c r="KA83" s="280">
        <f t="shared" si="450"/>
        <v>0</v>
      </c>
      <c r="KB83" s="44">
        <f t="shared" si="463"/>
        <v>0</v>
      </c>
      <c r="KC83" s="343" t="e">
        <f t="shared" si="464"/>
        <v>#N/A</v>
      </c>
      <c r="KE83" s="280">
        <f t="shared" si="453"/>
        <v>0</v>
      </c>
      <c r="KF83" s="280">
        <f t="shared" si="454"/>
        <v>0</v>
      </c>
      <c r="KG83" s="280">
        <f t="shared" si="455"/>
        <v>0</v>
      </c>
      <c r="KH83" s="78">
        <f t="shared" si="465"/>
        <v>0</v>
      </c>
      <c r="KI83" s="592" t="str">
        <f t="shared" si="466"/>
        <v xml:space="preserve"> </v>
      </c>
      <c r="KJ83" s="280">
        <f t="shared" si="456"/>
        <v>0</v>
      </c>
      <c r="KK83" s="280">
        <f t="shared" si="457"/>
        <v>0</v>
      </c>
      <c r="KL83" s="280">
        <f t="shared" si="458"/>
        <v>0</v>
      </c>
      <c r="KM83" s="78">
        <f t="shared" si="467"/>
        <v>0</v>
      </c>
      <c r="KN83" s="458">
        <f t="shared" si="468"/>
        <v>0</v>
      </c>
      <c r="KO83" s="444"/>
      <c r="KP83" s="218"/>
      <c r="KQ83" s="218"/>
      <c r="NY83" s="544"/>
    </row>
    <row r="84" spans="1:389" ht="16.149999999999999" customHeight="1" x14ac:dyDescent="0.25">
      <c r="A84" s="431" t="str">
        <f t="shared" si="472"/>
        <v>Bradford</v>
      </c>
      <c r="B84" s="1092">
        <f t="shared" ref="B84:B94" si="491">JW104</f>
        <v>0</v>
      </c>
      <c r="C84" s="1092">
        <f t="shared" ref="C84:C94" si="492">JX104</f>
        <v>0</v>
      </c>
      <c r="D84" s="1092">
        <f t="shared" ref="D84:D94" si="493">JY104</f>
        <v>0</v>
      </c>
      <c r="E84" s="1092">
        <f t="shared" ref="E84:E94" si="494">JZ104</f>
        <v>0</v>
      </c>
      <c r="F84" s="1092">
        <f t="shared" ref="F84:F94" si="495">KA104</f>
        <v>0</v>
      </c>
      <c r="G84" s="280">
        <f t="shared" si="373"/>
        <v>0</v>
      </c>
      <c r="H84" s="280">
        <f t="shared" si="374"/>
        <v>0</v>
      </c>
      <c r="I84" s="280">
        <f t="shared" si="375"/>
        <v>0</v>
      </c>
      <c r="J84" s="280">
        <f t="shared" si="376"/>
        <v>0</v>
      </c>
      <c r="K84" s="280">
        <f t="shared" si="377"/>
        <v>0</v>
      </c>
      <c r="L84" s="381">
        <f t="shared" ref="L84:L94" si="496">IF(G84=1,R84,0)</f>
        <v>0</v>
      </c>
      <c r="M84" s="381">
        <f t="shared" ref="M84:M94" si="497">IF(H84=1,R84,0)</f>
        <v>0</v>
      </c>
      <c r="N84" s="381">
        <f t="shared" ref="N84:N94" si="498">IF(I84=1,R84,0)</f>
        <v>0</v>
      </c>
      <c r="O84" s="381">
        <f t="shared" ref="O84:O94" si="499">IF(J84=1,R84,0)</f>
        <v>0</v>
      </c>
      <c r="P84" s="381">
        <f t="shared" ref="P84:P94" si="500">IF(K84=1,R84,0)</f>
        <v>0</v>
      </c>
      <c r="Q84" s="220"/>
      <c r="R84" s="1090">
        <v>3</v>
      </c>
      <c r="S84" s="657"/>
      <c r="T84" s="1531"/>
      <c r="U84" s="431" t="s">
        <v>359</v>
      </c>
      <c r="V84" s="687"/>
      <c r="W84" s="687"/>
      <c r="X84" s="687"/>
      <c r="Y84" s="686">
        <v>27</v>
      </c>
      <c r="Z84" s="1085">
        <v>3</v>
      </c>
      <c r="AA84" s="1477">
        <v>200</v>
      </c>
      <c r="AB84" s="1477"/>
      <c r="AC84" s="684">
        <v>0</v>
      </c>
      <c r="AD84" s="684">
        <v>20</v>
      </c>
      <c r="AE84" s="684">
        <v>20</v>
      </c>
      <c r="AF84" s="684">
        <v>40</v>
      </c>
      <c r="AG84" s="1477" t="s">
        <v>24</v>
      </c>
      <c r="AH84" s="1477"/>
      <c r="AI84" s="1467" t="str">
        <f t="shared" si="489"/>
        <v xml:space="preserve"> </v>
      </c>
      <c r="AJ84" s="1468"/>
      <c r="AK84" s="707" t="str">
        <f t="shared" si="384"/>
        <v xml:space="preserve"> </v>
      </c>
      <c r="AL84" s="706"/>
      <c r="AM84" s="706"/>
      <c r="AN84" s="801"/>
      <c r="AO84" s="348"/>
      <c r="AP84" s="143"/>
      <c r="AQ84" s="55"/>
      <c r="AR84" s="55"/>
      <c r="AS84" s="55"/>
      <c r="AT84" s="55"/>
      <c r="AU84" s="55"/>
      <c r="AV84" s="55"/>
      <c r="AW84" s="655"/>
      <c r="AX84" s="450"/>
      <c r="AY84" s="450"/>
      <c r="AZ84" s="450"/>
      <c r="BA84" s="450"/>
      <c r="BB84" s="450"/>
      <c r="BC84" s="450"/>
      <c r="BD84" s="450"/>
      <c r="BE84" s="450"/>
      <c r="BF84" s="1237"/>
      <c r="BG84" s="450"/>
      <c r="BH84" s="450"/>
      <c r="BI84" s="450"/>
      <c r="BJ84" s="450"/>
      <c r="BK84" s="450"/>
      <c r="BL84" s="450"/>
      <c r="BM84" s="450"/>
      <c r="BN84" s="431" t="s">
        <v>359</v>
      </c>
      <c r="BO84" s="450"/>
      <c r="BP84" s="701" t="str">
        <f t="shared" si="351"/>
        <v xml:space="preserve"> </v>
      </c>
      <c r="BQ84" s="693" t="e">
        <f>'DEGREE MARK SIMULATOR'!CW84</f>
        <v>#NUM!</v>
      </c>
      <c r="BR84" s="367" t="e">
        <f t="shared" si="361"/>
        <v>#NUM!</v>
      </c>
      <c r="BX84" s="196" t="str">
        <f t="shared" si="490"/>
        <v xml:space="preserve"> </v>
      </c>
      <c r="BY84" s="81" t="str">
        <f t="shared" si="353"/>
        <v xml:space="preserve"> </v>
      </c>
      <c r="BZ84" s="78">
        <f t="shared" si="362"/>
        <v>1</v>
      </c>
      <c r="CA84" s="55" t="s">
        <v>359</v>
      </c>
      <c r="CB84" s="132" t="s">
        <v>675</v>
      </c>
      <c r="CC84" s="138" t="s">
        <v>713</v>
      </c>
      <c r="CD84" s="37">
        <v>200</v>
      </c>
      <c r="CE84" s="35">
        <v>40</v>
      </c>
      <c r="CF84" s="35"/>
      <c r="CG84" s="36">
        <v>20</v>
      </c>
      <c r="CH84" s="36">
        <v>20</v>
      </c>
      <c r="CI84" s="37" t="s">
        <v>24</v>
      </c>
      <c r="CJ84" s="598">
        <v>28</v>
      </c>
      <c r="CK84" s="37">
        <v>32</v>
      </c>
      <c r="CL84" s="41" t="s">
        <v>904</v>
      </c>
      <c r="CM84" s="610" t="e">
        <f>CM82</f>
        <v>#NUM!</v>
      </c>
      <c r="CN84" s="41" t="s">
        <v>903</v>
      </c>
      <c r="CO84" s="582" t="e">
        <f>CO82</f>
        <v>#NUM!</v>
      </c>
      <c r="CR84" s="78" t="e">
        <f t="shared" si="411"/>
        <v>#NUM!</v>
      </c>
      <c r="CS84" s="78" t="e">
        <f t="shared" si="412"/>
        <v>#NUM!</v>
      </c>
      <c r="CT84" s="78" t="str">
        <f t="shared" si="413"/>
        <v>20 - 80</v>
      </c>
      <c r="CW84" s="613" t="e">
        <f t="shared" si="410"/>
        <v>#NUM!</v>
      </c>
      <c r="CX84" s="431" t="s">
        <v>359</v>
      </c>
      <c r="IJ84" s="431" t="str">
        <f t="shared" si="414"/>
        <v>Abertay</v>
      </c>
      <c r="IK84" s="701" t="str">
        <f t="shared" si="415"/>
        <v xml:space="preserve"> </v>
      </c>
      <c r="IM84" s="431" t="s">
        <v>73</v>
      </c>
      <c r="IN84" s="196" t="str">
        <f t="shared" si="416"/>
        <v xml:space="preserve"> </v>
      </c>
      <c r="IO84" s="342"/>
      <c r="IP84" s="342"/>
      <c r="IQ84" s="78">
        <f t="shared" si="469"/>
        <v>9</v>
      </c>
      <c r="IR84" s="439" t="str">
        <f t="shared" si="473"/>
        <v xml:space="preserve"> </v>
      </c>
      <c r="IS84" s="280">
        <f t="shared" si="417"/>
        <v>0</v>
      </c>
      <c r="IT84" s="280">
        <f t="shared" si="418"/>
        <v>0</v>
      </c>
      <c r="IU84" s="280">
        <f t="shared" si="419"/>
        <v>0</v>
      </c>
      <c r="IV84" s="280">
        <f t="shared" si="420"/>
        <v>0</v>
      </c>
      <c r="IW84" s="280">
        <f t="shared" si="421"/>
        <v>0</v>
      </c>
      <c r="IX84" s="280">
        <f t="shared" si="422"/>
        <v>0</v>
      </c>
      <c r="IY84" s="280">
        <f t="shared" si="423"/>
        <v>0</v>
      </c>
      <c r="IZ84" s="280">
        <f t="shared" si="424"/>
        <v>0</v>
      </c>
      <c r="JA84" s="280">
        <f t="shared" si="425"/>
        <v>0</v>
      </c>
      <c r="JB84" s="280">
        <f t="shared" si="426"/>
        <v>0</v>
      </c>
      <c r="JC84" s="280">
        <f t="shared" si="427"/>
        <v>0</v>
      </c>
      <c r="JD84" s="280">
        <f t="shared" si="428"/>
        <v>0</v>
      </c>
      <c r="JE84" s="280">
        <f t="shared" si="429"/>
        <v>0</v>
      </c>
      <c r="JF84" s="280">
        <f t="shared" si="430"/>
        <v>0</v>
      </c>
      <c r="JG84" s="280">
        <f t="shared" si="431"/>
        <v>0</v>
      </c>
      <c r="JH84" s="280">
        <f t="shared" si="432"/>
        <v>0</v>
      </c>
      <c r="JI84" s="280">
        <f t="shared" si="433"/>
        <v>0</v>
      </c>
      <c r="JJ84" s="280">
        <f t="shared" si="434"/>
        <v>0</v>
      </c>
      <c r="JK84" s="280">
        <f t="shared" si="435"/>
        <v>0</v>
      </c>
      <c r="JL84" s="280">
        <f t="shared" si="436"/>
        <v>0</v>
      </c>
      <c r="JM84" s="280">
        <f t="shared" si="437"/>
        <v>0</v>
      </c>
      <c r="JN84" s="280">
        <f t="shared" si="438"/>
        <v>0</v>
      </c>
      <c r="JO84" s="280">
        <f t="shared" si="439"/>
        <v>0</v>
      </c>
      <c r="JP84" s="280">
        <f t="shared" si="440"/>
        <v>0</v>
      </c>
      <c r="JQ84" s="280">
        <f t="shared" si="441"/>
        <v>0</v>
      </c>
      <c r="JR84" s="280">
        <f t="shared" si="442"/>
        <v>0</v>
      </c>
      <c r="JS84" s="44">
        <f t="shared" si="461"/>
        <v>0</v>
      </c>
      <c r="JT84" s="343" t="e">
        <f t="shared" si="462"/>
        <v>#N/A</v>
      </c>
      <c r="JU84" s="431" t="s">
        <v>73</v>
      </c>
      <c r="JV84" s="280">
        <f t="shared" si="445"/>
        <v>0</v>
      </c>
      <c r="JW84" s="280">
        <f t="shared" si="446"/>
        <v>0</v>
      </c>
      <c r="JX84" s="280">
        <f t="shared" si="447"/>
        <v>0</v>
      </c>
      <c r="JY84" s="280">
        <f t="shared" si="448"/>
        <v>0</v>
      </c>
      <c r="JZ84" s="280">
        <f t="shared" si="449"/>
        <v>0</v>
      </c>
      <c r="KA84" s="280">
        <f t="shared" si="450"/>
        <v>0</v>
      </c>
      <c r="KB84" s="44">
        <f t="shared" si="463"/>
        <v>0</v>
      </c>
      <c r="KC84" s="343" t="e">
        <f t="shared" si="464"/>
        <v>#N/A</v>
      </c>
      <c r="KE84" s="280">
        <f t="shared" si="453"/>
        <v>0</v>
      </c>
      <c r="KF84" s="280">
        <f t="shared" si="454"/>
        <v>0</v>
      </c>
      <c r="KG84" s="280">
        <f t="shared" si="455"/>
        <v>0</v>
      </c>
      <c r="KH84" s="78">
        <f t="shared" si="465"/>
        <v>0</v>
      </c>
      <c r="KI84" s="592" t="str">
        <f t="shared" si="466"/>
        <v xml:space="preserve"> </v>
      </c>
      <c r="KJ84" s="280">
        <f t="shared" si="456"/>
        <v>0</v>
      </c>
      <c r="KK84" s="280">
        <f t="shared" si="457"/>
        <v>0</v>
      </c>
      <c r="KL84" s="280">
        <f t="shared" si="458"/>
        <v>0</v>
      </c>
      <c r="KM84" s="78">
        <f t="shared" si="467"/>
        <v>0</v>
      </c>
      <c r="KN84" s="458">
        <f t="shared" si="468"/>
        <v>0</v>
      </c>
      <c r="KO84" s="444"/>
      <c r="KP84" s="218"/>
      <c r="KQ84" s="218"/>
      <c r="NY84" s="544"/>
    </row>
    <row r="85" spans="1:389" ht="16.149999999999999" customHeight="1" x14ac:dyDescent="0.25">
      <c r="A85" s="431" t="str">
        <f t="shared" si="472"/>
        <v>Anglia Ruskin</v>
      </c>
      <c r="B85" s="1092">
        <f t="shared" si="491"/>
        <v>0</v>
      </c>
      <c r="C85" s="1092">
        <f t="shared" si="492"/>
        <v>0</v>
      </c>
      <c r="D85" s="1092">
        <f t="shared" si="493"/>
        <v>0</v>
      </c>
      <c r="E85" s="1092">
        <f t="shared" si="494"/>
        <v>0</v>
      </c>
      <c r="F85" s="1092">
        <f t="shared" si="495"/>
        <v>0</v>
      </c>
      <c r="G85" s="280">
        <f t="shared" si="373"/>
        <v>0</v>
      </c>
      <c r="H85" s="280">
        <f t="shared" si="374"/>
        <v>0</v>
      </c>
      <c r="I85" s="280">
        <f t="shared" si="375"/>
        <v>0</v>
      </c>
      <c r="J85" s="280">
        <f t="shared" si="376"/>
        <v>0</v>
      </c>
      <c r="K85" s="280">
        <f t="shared" si="377"/>
        <v>0</v>
      </c>
      <c r="L85" s="381">
        <f t="shared" si="496"/>
        <v>0</v>
      </c>
      <c r="M85" s="381">
        <f t="shared" si="497"/>
        <v>0</v>
      </c>
      <c r="N85" s="381">
        <f t="shared" si="498"/>
        <v>0</v>
      </c>
      <c r="O85" s="381">
        <f t="shared" si="499"/>
        <v>0</v>
      </c>
      <c r="P85" s="381">
        <f t="shared" si="500"/>
        <v>0</v>
      </c>
      <c r="Q85" s="220"/>
      <c r="R85" s="1090">
        <v>1</v>
      </c>
      <c r="S85" s="657"/>
      <c r="T85" s="1531"/>
      <c r="U85" s="431" t="s">
        <v>368</v>
      </c>
      <c r="V85" s="687"/>
      <c r="W85" s="687"/>
      <c r="X85" s="687"/>
      <c r="Y85" s="686">
        <v>28</v>
      </c>
      <c r="Z85" s="1085">
        <v>1</v>
      </c>
      <c r="AA85" s="1477">
        <v>180</v>
      </c>
      <c r="AB85" s="1477"/>
      <c r="AC85" s="684">
        <v>0</v>
      </c>
      <c r="AD85" s="684">
        <v>45</v>
      </c>
      <c r="AE85" s="684">
        <v>15</v>
      </c>
      <c r="AF85" s="684">
        <v>60</v>
      </c>
      <c r="AG85" s="1477" t="s">
        <v>16</v>
      </c>
      <c r="AH85" s="1477"/>
      <c r="AI85" s="1467" t="str">
        <f t="shared" si="489"/>
        <v xml:space="preserve"> </v>
      </c>
      <c r="AJ85" s="1468"/>
      <c r="AK85" s="707" t="str">
        <f t="shared" si="384"/>
        <v xml:space="preserve"> </v>
      </c>
      <c r="AL85" s="706"/>
      <c r="AM85" s="706"/>
      <c r="AN85" s="801"/>
      <c r="AO85" s="348"/>
      <c r="AP85" s="143"/>
      <c r="AQ85" s="55"/>
      <c r="AR85" s="55"/>
      <c r="AS85" s="55"/>
      <c r="AT85" s="55"/>
      <c r="AU85" s="55"/>
      <c r="AV85" s="55"/>
      <c r="AW85" s="655"/>
      <c r="AX85" s="450"/>
      <c r="AY85" s="450"/>
      <c r="AZ85" s="450"/>
      <c r="BA85" s="450"/>
      <c r="BB85" s="450"/>
      <c r="BC85" s="450"/>
      <c r="BD85" s="450"/>
      <c r="BE85" s="450"/>
      <c r="BF85" s="1237"/>
      <c r="BG85" s="450"/>
      <c r="BH85" s="450"/>
      <c r="BI85" s="450"/>
      <c r="BJ85" s="450"/>
      <c r="BK85" s="450"/>
      <c r="BL85" s="450"/>
      <c r="BM85" s="450"/>
      <c r="BN85" s="431" t="s">
        <v>368</v>
      </c>
      <c r="BO85" s="450"/>
      <c r="BP85" s="701" t="str">
        <f t="shared" si="351"/>
        <v xml:space="preserve"> </v>
      </c>
      <c r="BQ85" s="693" t="e">
        <f>'DEGREE MARK SIMULATOR'!CW85</f>
        <v>#NUM!</v>
      </c>
      <c r="BR85" s="367" t="e">
        <f t="shared" si="361"/>
        <v>#NUM!</v>
      </c>
      <c r="BV85" s="461"/>
      <c r="BW85" s="461"/>
      <c r="BX85" s="196" t="str">
        <f t="shared" si="490"/>
        <v xml:space="preserve"> </v>
      </c>
      <c r="BY85" s="81" t="str">
        <f t="shared" si="353"/>
        <v xml:space="preserve"> </v>
      </c>
      <c r="BZ85" s="78">
        <f t="shared" si="362"/>
        <v>1</v>
      </c>
      <c r="CA85" s="55" t="s">
        <v>368</v>
      </c>
      <c r="CB85" s="132" t="s">
        <v>677</v>
      </c>
      <c r="CC85" s="138" t="s">
        <v>370</v>
      </c>
      <c r="CD85" s="37">
        <v>180</v>
      </c>
      <c r="CE85" s="35">
        <v>60</v>
      </c>
      <c r="CF85" s="35"/>
      <c r="CG85" s="36">
        <v>45</v>
      </c>
      <c r="CH85" s="36">
        <v>15</v>
      </c>
      <c r="CI85" s="37" t="s">
        <v>16</v>
      </c>
      <c r="CJ85" s="598">
        <v>29</v>
      </c>
      <c r="CK85" s="37">
        <v>33</v>
      </c>
      <c r="CL85" s="41" t="s">
        <v>904</v>
      </c>
      <c r="CM85" s="609" t="e">
        <f>$HD$49</f>
        <v>#NUM!</v>
      </c>
      <c r="CN85" s="41" t="s">
        <v>903</v>
      </c>
      <c r="CO85" s="582" t="e">
        <f>$FM$49</f>
        <v>#NUM!</v>
      </c>
      <c r="CR85" s="78" t="e">
        <f>CM85*0.5</f>
        <v>#NUM!</v>
      </c>
      <c r="CS85" s="78" t="e">
        <f>CO85*0.5</f>
        <v>#NUM!</v>
      </c>
      <c r="CT85" s="78" t="str">
        <f t="shared" si="413"/>
        <v>50 - 50</v>
      </c>
      <c r="CW85" s="613" t="e">
        <f t="shared" si="410"/>
        <v>#NUM!</v>
      </c>
      <c r="CX85" s="431" t="s">
        <v>368</v>
      </c>
      <c r="IJ85" s="431" t="str">
        <f t="shared" si="414"/>
        <v>Birmingham City</v>
      </c>
      <c r="IK85" s="701" t="str">
        <f t="shared" si="415"/>
        <v xml:space="preserve"> </v>
      </c>
      <c r="IM85" s="431" t="s">
        <v>101</v>
      </c>
      <c r="IN85" s="196" t="str">
        <f t="shared" si="416"/>
        <v xml:space="preserve"> </v>
      </c>
      <c r="IO85" s="342"/>
      <c r="IP85" s="342"/>
      <c r="IQ85" s="78">
        <f t="shared" si="469"/>
        <v>10</v>
      </c>
      <c r="IR85" s="439" t="str">
        <f t="shared" si="473"/>
        <v xml:space="preserve"> </v>
      </c>
      <c r="IS85" s="280">
        <f t="shared" si="417"/>
        <v>0</v>
      </c>
      <c r="IT85" s="280">
        <f t="shared" si="418"/>
        <v>0</v>
      </c>
      <c r="IU85" s="280">
        <f t="shared" si="419"/>
        <v>0</v>
      </c>
      <c r="IV85" s="280">
        <f t="shared" si="420"/>
        <v>0</v>
      </c>
      <c r="IW85" s="280">
        <f t="shared" si="421"/>
        <v>0</v>
      </c>
      <c r="IX85" s="280">
        <f t="shared" si="422"/>
        <v>0</v>
      </c>
      <c r="IY85" s="280">
        <f t="shared" si="423"/>
        <v>0</v>
      </c>
      <c r="IZ85" s="280">
        <f t="shared" si="424"/>
        <v>0</v>
      </c>
      <c r="JA85" s="280">
        <f t="shared" si="425"/>
        <v>0</v>
      </c>
      <c r="JB85" s="280">
        <f t="shared" si="426"/>
        <v>0</v>
      </c>
      <c r="JC85" s="280">
        <f t="shared" si="427"/>
        <v>0</v>
      </c>
      <c r="JD85" s="280">
        <f t="shared" si="428"/>
        <v>0</v>
      </c>
      <c r="JE85" s="280">
        <f t="shared" si="429"/>
        <v>0</v>
      </c>
      <c r="JF85" s="280">
        <f t="shared" si="430"/>
        <v>0</v>
      </c>
      <c r="JG85" s="280">
        <f t="shared" si="431"/>
        <v>0</v>
      </c>
      <c r="JH85" s="280">
        <f t="shared" si="432"/>
        <v>0</v>
      </c>
      <c r="JI85" s="280">
        <f t="shared" si="433"/>
        <v>0</v>
      </c>
      <c r="JJ85" s="280">
        <f t="shared" si="434"/>
        <v>0</v>
      </c>
      <c r="JK85" s="280">
        <f t="shared" si="435"/>
        <v>0</v>
      </c>
      <c r="JL85" s="280">
        <f t="shared" si="436"/>
        <v>0</v>
      </c>
      <c r="JM85" s="280">
        <f t="shared" si="437"/>
        <v>0</v>
      </c>
      <c r="JN85" s="280">
        <f t="shared" si="438"/>
        <v>0</v>
      </c>
      <c r="JO85" s="280">
        <f t="shared" si="439"/>
        <v>0</v>
      </c>
      <c r="JP85" s="280">
        <f t="shared" si="440"/>
        <v>0</v>
      </c>
      <c r="JQ85" s="280">
        <f t="shared" si="441"/>
        <v>0</v>
      </c>
      <c r="JR85" s="280">
        <f t="shared" si="442"/>
        <v>0</v>
      </c>
      <c r="JS85" s="44">
        <f t="shared" si="461"/>
        <v>0</v>
      </c>
      <c r="JT85" s="343" t="e">
        <f t="shared" si="462"/>
        <v>#N/A</v>
      </c>
      <c r="JU85" s="431" t="s">
        <v>101</v>
      </c>
      <c r="JV85" s="280">
        <f t="shared" si="445"/>
        <v>0</v>
      </c>
      <c r="JW85" s="280">
        <f t="shared" si="446"/>
        <v>0</v>
      </c>
      <c r="JX85" s="280">
        <f t="shared" si="447"/>
        <v>0</v>
      </c>
      <c r="JY85" s="280">
        <f t="shared" si="448"/>
        <v>0</v>
      </c>
      <c r="JZ85" s="280">
        <f t="shared" si="449"/>
        <v>0</v>
      </c>
      <c r="KA85" s="280">
        <f t="shared" si="450"/>
        <v>0</v>
      </c>
      <c r="KB85" s="44">
        <f t="shared" si="463"/>
        <v>0</v>
      </c>
      <c r="KC85" s="343" t="e">
        <f t="shared" si="464"/>
        <v>#N/A</v>
      </c>
      <c r="KE85" s="280">
        <f t="shared" si="453"/>
        <v>0</v>
      </c>
      <c r="KF85" s="280">
        <f t="shared" si="454"/>
        <v>0</v>
      </c>
      <c r="KG85" s="280">
        <f t="shared" si="455"/>
        <v>0</v>
      </c>
      <c r="KH85" s="78">
        <f t="shared" si="465"/>
        <v>0</v>
      </c>
      <c r="KI85" s="592" t="str">
        <f t="shared" si="466"/>
        <v xml:space="preserve"> </v>
      </c>
      <c r="KJ85" s="280">
        <f t="shared" si="456"/>
        <v>0</v>
      </c>
      <c r="KK85" s="280">
        <f t="shared" si="457"/>
        <v>0</v>
      </c>
      <c r="KL85" s="280">
        <f t="shared" si="458"/>
        <v>0</v>
      </c>
      <c r="KM85" s="78">
        <f t="shared" si="467"/>
        <v>0</v>
      </c>
      <c r="KN85" s="458">
        <f t="shared" si="468"/>
        <v>0</v>
      </c>
      <c r="KO85" s="444"/>
      <c r="KP85" s="218"/>
      <c r="KQ85" s="218"/>
      <c r="NY85" s="544"/>
    </row>
    <row r="86" spans="1:389" ht="16.149999999999999" customHeight="1" x14ac:dyDescent="0.25">
      <c r="A86" s="431" t="str">
        <f t="shared" si="472"/>
        <v>Edinburgh Napier</v>
      </c>
      <c r="B86" s="1092">
        <f t="shared" si="491"/>
        <v>0</v>
      </c>
      <c r="C86" s="1092">
        <f t="shared" si="492"/>
        <v>0</v>
      </c>
      <c r="D86" s="1092">
        <f t="shared" si="493"/>
        <v>0</v>
      </c>
      <c r="E86" s="1092">
        <f t="shared" si="494"/>
        <v>0</v>
      </c>
      <c r="F86" s="1092">
        <f t="shared" si="495"/>
        <v>0</v>
      </c>
      <c r="G86" s="280">
        <f t="shared" si="373"/>
        <v>0</v>
      </c>
      <c r="H86" s="280">
        <f t="shared" si="374"/>
        <v>0</v>
      </c>
      <c r="I86" s="280">
        <f t="shared" si="375"/>
        <v>0</v>
      </c>
      <c r="J86" s="280">
        <f t="shared" si="376"/>
        <v>0</v>
      </c>
      <c r="K86" s="280">
        <f t="shared" si="377"/>
        <v>0</v>
      </c>
      <c r="L86" s="381">
        <f t="shared" si="496"/>
        <v>0</v>
      </c>
      <c r="M86" s="381">
        <f t="shared" si="497"/>
        <v>0</v>
      </c>
      <c r="N86" s="381">
        <f t="shared" si="498"/>
        <v>0</v>
      </c>
      <c r="O86" s="381">
        <f t="shared" si="499"/>
        <v>0</v>
      </c>
      <c r="P86" s="381">
        <f t="shared" si="500"/>
        <v>0</v>
      </c>
      <c r="Q86" s="220"/>
      <c r="R86" s="1090">
        <v>1</v>
      </c>
      <c r="S86" s="657"/>
      <c r="T86" s="1531"/>
      <c r="U86" s="431" t="s">
        <v>371</v>
      </c>
      <c r="V86" s="687"/>
      <c r="W86" s="687"/>
      <c r="X86" s="687"/>
      <c r="Y86" s="686">
        <v>28</v>
      </c>
      <c r="Z86" s="1085">
        <v>1</v>
      </c>
      <c r="AA86" s="1477">
        <v>180</v>
      </c>
      <c r="AB86" s="1477"/>
      <c r="AC86" s="684">
        <v>0</v>
      </c>
      <c r="AD86" s="684">
        <v>40</v>
      </c>
      <c r="AE86" s="684">
        <v>20</v>
      </c>
      <c r="AF86" s="684">
        <v>60</v>
      </c>
      <c r="AG86" s="1477" t="s">
        <v>16</v>
      </c>
      <c r="AH86" s="1477"/>
      <c r="AI86" s="1467" t="str">
        <f t="shared" si="489"/>
        <v xml:space="preserve"> </v>
      </c>
      <c r="AJ86" s="1468"/>
      <c r="AK86" s="707" t="str">
        <f t="shared" si="384"/>
        <v xml:space="preserve"> </v>
      </c>
      <c r="AL86" s="1479">
        <f>CA101</f>
        <v>0</v>
      </c>
      <c r="AM86" s="1395"/>
      <c r="AN86" s="1395"/>
      <c r="AO86" s="1480"/>
      <c r="AP86" s="143"/>
      <c r="AQ86" s="55"/>
      <c r="AR86" s="55"/>
      <c r="AS86" s="55"/>
      <c r="AT86" s="55"/>
      <c r="AU86" s="55"/>
      <c r="AV86" s="55"/>
      <c r="AW86" s="657"/>
      <c r="AX86" s="450"/>
      <c r="AY86" s="450"/>
      <c r="AZ86" s="450"/>
      <c r="BA86" s="450"/>
      <c r="BB86" s="450"/>
      <c r="BC86" s="450"/>
      <c r="BD86" s="450"/>
      <c r="BE86" s="450"/>
      <c r="BF86" s="1237"/>
      <c r="BG86" s="450"/>
      <c r="BH86" s="450"/>
      <c r="BI86" s="450"/>
      <c r="BJ86" s="450"/>
      <c r="BK86" s="450"/>
      <c r="BL86" s="450"/>
      <c r="BM86" s="450"/>
      <c r="BN86" s="431" t="s">
        <v>371</v>
      </c>
      <c r="BO86" s="450"/>
      <c r="BP86" s="701" t="str">
        <f t="shared" si="351"/>
        <v xml:space="preserve"> </v>
      </c>
      <c r="BQ86" s="693" t="e">
        <f>'DEGREE MARK SIMULATOR'!CW86</f>
        <v>#NUM!</v>
      </c>
      <c r="BR86" s="367" t="e">
        <f t="shared" si="361"/>
        <v>#NUM!</v>
      </c>
      <c r="BV86" s="461"/>
      <c r="BW86" s="461"/>
      <c r="BX86" s="196" t="str">
        <f t="shared" si="490"/>
        <v xml:space="preserve"> </v>
      </c>
      <c r="BY86" s="81" t="str">
        <f t="shared" si="353"/>
        <v xml:space="preserve"> </v>
      </c>
      <c r="BZ86" s="78">
        <f t="shared" si="362"/>
        <v>1</v>
      </c>
      <c r="CA86" s="55" t="s">
        <v>371</v>
      </c>
      <c r="CB86" s="132" t="s">
        <v>373</v>
      </c>
      <c r="CC86" s="138" t="s">
        <v>374</v>
      </c>
      <c r="CD86" s="37">
        <v>180</v>
      </c>
      <c r="CE86" s="35">
        <v>60</v>
      </c>
      <c r="CF86" s="35"/>
      <c r="CG86" s="36">
        <v>40</v>
      </c>
      <c r="CH86" s="36">
        <v>20</v>
      </c>
      <c r="CI86" s="37" t="s">
        <v>16</v>
      </c>
      <c r="CJ86" s="598">
        <v>29</v>
      </c>
      <c r="CK86" s="37">
        <v>34</v>
      </c>
      <c r="CL86" s="41" t="s">
        <v>904</v>
      </c>
      <c r="CM86" s="610" t="e">
        <f>CM82</f>
        <v>#NUM!</v>
      </c>
      <c r="CN86" s="41" t="s">
        <v>903</v>
      </c>
      <c r="CO86" s="582" t="e">
        <f>$FF$49</f>
        <v>#NUM!</v>
      </c>
      <c r="CR86" s="78" t="e">
        <f t="shared" ref="CR86:CR88" si="501">CM86*0.5</f>
        <v>#NUM!</v>
      </c>
      <c r="CS86" s="78" t="e">
        <f t="shared" ref="CS86:CS88" si="502">CO86*0.5</f>
        <v>#NUM!</v>
      </c>
      <c r="CT86" s="78" t="str">
        <f t="shared" si="413"/>
        <v>50 - 50</v>
      </c>
      <c r="CW86" s="613" t="e">
        <f t="shared" si="410"/>
        <v>#NUM!</v>
      </c>
      <c r="CX86" s="431" t="s">
        <v>371</v>
      </c>
      <c r="IJ86" s="431" t="str">
        <f t="shared" si="414"/>
        <v>Surrey</v>
      </c>
      <c r="IK86" s="701" t="str">
        <f t="shared" si="415"/>
        <v xml:space="preserve"> </v>
      </c>
      <c r="IM86" s="431" t="s">
        <v>150</v>
      </c>
      <c r="IN86" s="196" t="str">
        <f t="shared" si="416"/>
        <v xml:space="preserve"> </v>
      </c>
      <c r="IO86" s="342"/>
      <c r="IP86" s="342"/>
      <c r="IQ86" s="78">
        <f t="shared" si="469"/>
        <v>11</v>
      </c>
      <c r="IR86" s="439" t="str">
        <f t="shared" si="473"/>
        <v xml:space="preserve"> </v>
      </c>
      <c r="IS86" s="280">
        <f t="shared" si="417"/>
        <v>0</v>
      </c>
      <c r="IT86" s="280">
        <f t="shared" si="418"/>
        <v>0</v>
      </c>
      <c r="IU86" s="280">
        <f t="shared" si="419"/>
        <v>0</v>
      </c>
      <c r="IV86" s="280">
        <f t="shared" si="420"/>
        <v>0</v>
      </c>
      <c r="IW86" s="280">
        <f t="shared" si="421"/>
        <v>0</v>
      </c>
      <c r="IX86" s="280">
        <f t="shared" si="422"/>
        <v>0</v>
      </c>
      <c r="IY86" s="280">
        <f t="shared" si="423"/>
        <v>0</v>
      </c>
      <c r="IZ86" s="280">
        <f t="shared" si="424"/>
        <v>0</v>
      </c>
      <c r="JA86" s="280">
        <f t="shared" si="425"/>
        <v>0</v>
      </c>
      <c r="JB86" s="280">
        <f t="shared" si="426"/>
        <v>0</v>
      </c>
      <c r="JC86" s="280">
        <f t="shared" si="427"/>
        <v>0</v>
      </c>
      <c r="JD86" s="280">
        <f t="shared" si="428"/>
        <v>0</v>
      </c>
      <c r="JE86" s="280">
        <f t="shared" si="429"/>
        <v>0</v>
      </c>
      <c r="JF86" s="280">
        <f t="shared" si="430"/>
        <v>0</v>
      </c>
      <c r="JG86" s="280">
        <f t="shared" si="431"/>
        <v>0</v>
      </c>
      <c r="JH86" s="280">
        <f t="shared" si="432"/>
        <v>0</v>
      </c>
      <c r="JI86" s="280">
        <f t="shared" si="433"/>
        <v>0</v>
      </c>
      <c r="JJ86" s="280">
        <f t="shared" si="434"/>
        <v>0</v>
      </c>
      <c r="JK86" s="280">
        <f t="shared" si="435"/>
        <v>0</v>
      </c>
      <c r="JL86" s="280">
        <f t="shared" si="436"/>
        <v>0</v>
      </c>
      <c r="JM86" s="280">
        <f t="shared" si="437"/>
        <v>0</v>
      </c>
      <c r="JN86" s="280">
        <f t="shared" si="438"/>
        <v>0</v>
      </c>
      <c r="JO86" s="280">
        <f t="shared" si="439"/>
        <v>0</v>
      </c>
      <c r="JP86" s="280">
        <f t="shared" si="440"/>
        <v>0</v>
      </c>
      <c r="JQ86" s="280">
        <f t="shared" si="441"/>
        <v>0</v>
      </c>
      <c r="JR86" s="280">
        <f t="shared" si="442"/>
        <v>0</v>
      </c>
      <c r="JS86" s="44">
        <f t="shared" si="461"/>
        <v>0</v>
      </c>
      <c r="JT86" s="343" t="e">
        <f t="shared" si="462"/>
        <v>#N/A</v>
      </c>
      <c r="JU86" s="431" t="s">
        <v>150</v>
      </c>
      <c r="JV86" s="280">
        <f t="shared" si="445"/>
        <v>0</v>
      </c>
      <c r="JW86" s="280">
        <f t="shared" si="446"/>
        <v>0</v>
      </c>
      <c r="JX86" s="280">
        <f t="shared" si="447"/>
        <v>0</v>
      </c>
      <c r="JY86" s="280">
        <f t="shared" si="448"/>
        <v>0</v>
      </c>
      <c r="JZ86" s="280">
        <f t="shared" si="449"/>
        <v>0</v>
      </c>
      <c r="KA86" s="280">
        <f t="shared" si="450"/>
        <v>0</v>
      </c>
      <c r="KB86" s="44">
        <f t="shared" si="463"/>
        <v>0</v>
      </c>
      <c r="KC86" s="343" t="e">
        <f t="shared" si="464"/>
        <v>#N/A</v>
      </c>
      <c r="KE86" s="280">
        <f t="shared" si="453"/>
        <v>0</v>
      </c>
      <c r="KF86" s="280">
        <f t="shared" si="454"/>
        <v>0</v>
      </c>
      <c r="KG86" s="280">
        <f t="shared" si="455"/>
        <v>0</v>
      </c>
      <c r="KH86" s="78">
        <f t="shared" si="465"/>
        <v>0</v>
      </c>
      <c r="KI86" s="592" t="str">
        <f t="shared" si="466"/>
        <v xml:space="preserve"> </v>
      </c>
      <c r="KJ86" s="280">
        <f t="shared" si="456"/>
        <v>0</v>
      </c>
      <c r="KK86" s="280">
        <f t="shared" si="457"/>
        <v>0</v>
      </c>
      <c r="KL86" s="280">
        <f t="shared" si="458"/>
        <v>0</v>
      </c>
      <c r="KM86" s="78">
        <f t="shared" si="467"/>
        <v>0</v>
      </c>
      <c r="KN86" s="458">
        <f t="shared" si="468"/>
        <v>0</v>
      </c>
      <c r="KO86" s="444"/>
      <c r="KP86" s="218"/>
      <c r="KQ86" s="218"/>
      <c r="NY86" s="544"/>
    </row>
    <row r="87" spans="1:389" ht="16.149999999999999" customHeight="1" x14ac:dyDescent="0.25">
      <c r="A87" s="431" t="str">
        <f t="shared" si="472"/>
        <v>Glasgow Caledonian</v>
      </c>
      <c r="B87" s="1092">
        <f t="shared" si="491"/>
        <v>0</v>
      </c>
      <c r="C87" s="1092">
        <f t="shared" si="492"/>
        <v>0</v>
      </c>
      <c r="D87" s="1092">
        <f t="shared" si="493"/>
        <v>0</v>
      </c>
      <c r="E87" s="1092">
        <f t="shared" si="494"/>
        <v>0</v>
      </c>
      <c r="F87" s="1092">
        <f t="shared" si="495"/>
        <v>0</v>
      </c>
      <c r="G87" s="280">
        <f t="shared" si="373"/>
        <v>0</v>
      </c>
      <c r="H87" s="280">
        <f t="shared" si="374"/>
        <v>0</v>
      </c>
      <c r="I87" s="280">
        <f t="shared" si="375"/>
        <v>0</v>
      </c>
      <c r="J87" s="280">
        <f t="shared" si="376"/>
        <v>0</v>
      </c>
      <c r="K87" s="280">
        <f t="shared" si="377"/>
        <v>0</v>
      </c>
      <c r="L87" s="381">
        <f t="shared" si="496"/>
        <v>0</v>
      </c>
      <c r="M87" s="381">
        <f t="shared" si="497"/>
        <v>0</v>
      </c>
      <c r="N87" s="381">
        <f t="shared" si="498"/>
        <v>0</v>
      </c>
      <c r="O87" s="381">
        <f t="shared" si="499"/>
        <v>0</v>
      </c>
      <c r="P87" s="381">
        <f t="shared" si="500"/>
        <v>0</v>
      </c>
      <c r="Q87" s="220"/>
      <c r="R87" s="1090">
        <v>1</v>
      </c>
      <c r="S87" s="657"/>
      <c r="T87" s="1531"/>
      <c r="U87" s="431" t="s">
        <v>375</v>
      </c>
      <c r="V87" s="687"/>
      <c r="W87" s="687"/>
      <c r="X87" s="687"/>
      <c r="Y87" s="686">
        <v>28</v>
      </c>
      <c r="Z87" s="1085">
        <v>1</v>
      </c>
      <c r="AA87" s="1477">
        <v>180</v>
      </c>
      <c r="AB87" s="1477"/>
      <c r="AC87" s="684">
        <v>0</v>
      </c>
      <c r="AD87" s="684">
        <v>30</v>
      </c>
      <c r="AE87" s="684">
        <v>30</v>
      </c>
      <c r="AF87" s="684">
        <v>60</v>
      </c>
      <c r="AG87" s="1477" t="s">
        <v>16</v>
      </c>
      <c r="AH87" s="1477"/>
      <c r="AI87" s="1467" t="str">
        <f t="shared" si="489"/>
        <v xml:space="preserve"> </v>
      </c>
      <c r="AJ87" s="1468"/>
      <c r="AK87" s="707" t="str">
        <f t="shared" ref="AK87:AK94" si="503">BY87</f>
        <v xml:space="preserve"> </v>
      </c>
      <c r="AL87" s="1479"/>
      <c r="AM87" s="1395"/>
      <c r="AN87" s="1395"/>
      <c r="AO87" s="1480"/>
      <c r="AP87" s="143"/>
      <c r="AQ87" s="55"/>
      <c r="AR87" s="55"/>
      <c r="AS87" s="55"/>
      <c r="AT87" s="55"/>
      <c r="AU87" s="55"/>
      <c r="AV87" s="55"/>
      <c r="AW87" s="657"/>
      <c r="AX87" s="450"/>
      <c r="AY87" s="450"/>
      <c r="AZ87" s="1155"/>
      <c r="BA87" s="636"/>
      <c r="BB87" s="450"/>
      <c r="BC87" s="450"/>
      <c r="BD87" s="450"/>
      <c r="BE87" s="450"/>
      <c r="BF87" s="1237"/>
      <c r="BG87" s="450"/>
      <c r="BH87" s="450"/>
      <c r="BI87" s="450"/>
      <c r="BJ87" s="450"/>
      <c r="BK87" s="450"/>
      <c r="BL87" s="450"/>
      <c r="BM87" s="450"/>
      <c r="BN87" s="431" t="s">
        <v>375</v>
      </c>
      <c r="BO87" s="450"/>
      <c r="BP87" s="701" t="str">
        <f t="shared" si="351"/>
        <v xml:space="preserve"> </v>
      </c>
      <c r="BQ87" s="693" t="e">
        <f>'DEGREE MARK SIMULATOR'!CW87</f>
        <v>#NUM!</v>
      </c>
      <c r="BR87" s="367" t="e">
        <f t="shared" si="361"/>
        <v>#NUM!</v>
      </c>
      <c r="BS87" s="81"/>
      <c r="BT87" s="81"/>
      <c r="BU87" s="461"/>
      <c r="BV87" s="461"/>
      <c r="BW87" s="461"/>
      <c r="BX87" s="196" t="str">
        <f t="shared" si="490"/>
        <v xml:space="preserve"> </v>
      </c>
      <c r="BY87" s="81" t="str">
        <f t="shared" si="353"/>
        <v xml:space="preserve"> </v>
      </c>
      <c r="BZ87" s="78">
        <f t="shared" si="362"/>
        <v>1</v>
      </c>
      <c r="CA87" s="55" t="s">
        <v>375</v>
      </c>
      <c r="CB87" s="132" t="s">
        <v>678</v>
      </c>
      <c r="CC87" s="138" t="s">
        <v>377</v>
      </c>
      <c r="CD87" s="37">
        <v>180</v>
      </c>
      <c r="CE87" s="35">
        <v>60</v>
      </c>
      <c r="CF87" s="35"/>
      <c r="CG87" s="36">
        <v>30</v>
      </c>
      <c r="CH87" s="36">
        <v>30</v>
      </c>
      <c r="CI87" s="37" t="s">
        <v>16</v>
      </c>
      <c r="CJ87" s="598">
        <v>29</v>
      </c>
      <c r="CK87" s="37">
        <v>35</v>
      </c>
      <c r="CL87" s="41" t="s">
        <v>904</v>
      </c>
      <c r="CM87" s="609" t="e">
        <f>$HR$49</f>
        <v>#NUM!</v>
      </c>
      <c r="CN87" s="41" t="s">
        <v>903</v>
      </c>
      <c r="CO87" s="582" t="e">
        <f>$EY$49</f>
        <v>#NUM!</v>
      </c>
      <c r="CR87" s="78" t="e">
        <f t="shared" si="501"/>
        <v>#NUM!</v>
      </c>
      <c r="CS87" s="78" t="e">
        <f t="shared" si="502"/>
        <v>#NUM!</v>
      </c>
      <c r="CT87" s="78" t="str">
        <f t="shared" si="413"/>
        <v>50 - 50</v>
      </c>
      <c r="CW87" s="613" t="e">
        <f t="shared" si="410"/>
        <v>#NUM!</v>
      </c>
      <c r="CX87" s="431" t="s">
        <v>375</v>
      </c>
      <c r="IJ87" s="431" t="str">
        <f t="shared" si="414"/>
        <v>Bangor</v>
      </c>
      <c r="IK87" s="701" t="str">
        <f t="shared" si="415"/>
        <v xml:space="preserve"> </v>
      </c>
      <c r="IM87" s="431" t="s">
        <v>153</v>
      </c>
      <c r="IN87" s="196" t="str">
        <f t="shared" si="416"/>
        <v xml:space="preserve"> </v>
      </c>
      <c r="IO87" s="342"/>
      <c r="IP87" s="342"/>
      <c r="IQ87" s="78">
        <f t="shared" si="469"/>
        <v>12</v>
      </c>
      <c r="IR87" s="439" t="str">
        <f t="shared" si="473"/>
        <v xml:space="preserve"> </v>
      </c>
      <c r="IS87" s="280">
        <f t="shared" si="417"/>
        <v>0</v>
      </c>
      <c r="IT87" s="280">
        <f t="shared" si="418"/>
        <v>0</v>
      </c>
      <c r="IU87" s="280">
        <f t="shared" si="419"/>
        <v>0</v>
      </c>
      <c r="IV87" s="280">
        <f t="shared" si="420"/>
        <v>0</v>
      </c>
      <c r="IW87" s="280">
        <f t="shared" si="421"/>
        <v>0</v>
      </c>
      <c r="IX87" s="280">
        <f t="shared" si="422"/>
        <v>0</v>
      </c>
      <c r="IY87" s="280">
        <f t="shared" si="423"/>
        <v>0</v>
      </c>
      <c r="IZ87" s="280">
        <f t="shared" si="424"/>
        <v>0</v>
      </c>
      <c r="JA87" s="280">
        <f t="shared" si="425"/>
        <v>0</v>
      </c>
      <c r="JB87" s="280">
        <f t="shared" si="426"/>
        <v>0</v>
      </c>
      <c r="JC87" s="280">
        <f t="shared" si="427"/>
        <v>0</v>
      </c>
      <c r="JD87" s="280">
        <f t="shared" si="428"/>
        <v>0</v>
      </c>
      <c r="JE87" s="280">
        <f t="shared" si="429"/>
        <v>0</v>
      </c>
      <c r="JF87" s="280">
        <f t="shared" si="430"/>
        <v>0</v>
      </c>
      <c r="JG87" s="280">
        <f t="shared" si="431"/>
        <v>0</v>
      </c>
      <c r="JH87" s="280">
        <f t="shared" si="432"/>
        <v>0</v>
      </c>
      <c r="JI87" s="280">
        <f t="shared" si="433"/>
        <v>0</v>
      </c>
      <c r="JJ87" s="280">
        <f t="shared" si="434"/>
        <v>0</v>
      </c>
      <c r="JK87" s="280">
        <f t="shared" si="435"/>
        <v>0</v>
      </c>
      <c r="JL87" s="280">
        <f t="shared" si="436"/>
        <v>0</v>
      </c>
      <c r="JM87" s="280">
        <f t="shared" si="437"/>
        <v>0</v>
      </c>
      <c r="JN87" s="280">
        <f t="shared" si="438"/>
        <v>0</v>
      </c>
      <c r="JO87" s="280">
        <f t="shared" si="439"/>
        <v>0</v>
      </c>
      <c r="JP87" s="280">
        <f t="shared" si="440"/>
        <v>0</v>
      </c>
      <c r="JQ87" s="280">
        <f t="shared" si="441"/>
        <v>0</v>
      </c>
      <c r="JR87" s="280">
        <f t="shared" si="442"/>
        <v>0</v>
      </c>
      <c r="JS87" s="44">
        <f t="shared" si="461"/>
        <v>0</v>
      </c>
      <c r="JT87" s="343" t="e">
        <f t="shared" si="462"/>
        <v>#N/A</v>
      </c>
      <c r="JU87" s="431" t="s">
        <v>153</v>
      </c>
      <c r="JV87" s="280">
        <f t="shared" si="445"/>
        <v>0</v>
      </c>
      <c r="JW87" s="280">
        <f t="shared" si="446"/>
        <v>0</v>
      </c>
      <c r="JX87" s="280">
        <f t="shared" si="447"/>
        <v>0</v>
      </c>
      <c r="JY87" s="280">
        <f t="shared" si="448"/>
        <v>0</v>
      </c>
      <c r="JZ87" s="280">
        <f t="shared" si="449"/>
        <v>0</v>
      </c>
      <c r="KA87" s="280">
        <f t="shared" si="450"/>
        <v>0</v>
      </c>
      <c r="KB87" s="44">
        <f t="shared" si="463"/>
        <v>0</v>
      </c>
      <c r="KC87" s="343" t="e">
        <f t="shared" si="464"/>
        <v>#N/A</v>
      </c>
      <c r="KE87" s="280">
        <f t="shared" si="453"/>
        <v>0</v>
      </c>
      <c r="KF87" s="280">
        <f t="shared" si="454"/>
        <v>0</v>
      </c>
      <c r="KG87" s="280">
        <f t="shared" si="455"/>
        <v>0</v>
      </c>
      <c r="KH87" s="78">
        <f t="shared" si="465"/>
        <v>0</v>
      </c>
      <c r="KI87" s="592" t="str">
        <f t="shared" si="466"/>
        <v xml:space="preserve"> </v>
      </c>
      <c r="KJ87" s="280">
        <f t="shared" si="456"/>
        <v>0</v>
      </c>
      <c r="KK87" s="280">
        <f t="shared" si="457"/>
        <v>0</v>
      </c>
      <c r="KL87" s="280">
        <f t="shared" si="458"/>
        <v>0</v>
      </c>
      <c r="KM87" s="78">
        <f t="shared" si="467"/>
        <v>0</v>
      </c>
      <c r="KN87" s="458">
        <f t="shared" si="468"/>
        <v>0</v>
      </c>
      <c r="KO87" s="444"/>
      <c r="KP87" s="218"/>
      <c r="KQ87" s="218"/>
      <c r="NY87" s="544"/>
    </row>
    <row r="88" spans="1:389" ht="16.149999999999999" customHeight="1" x14ac:dyDescent="0.25">
      <c r="A88" s="431" t="str">
        <f t="shared" si="472"/>
        <v>South Wales</v>
      </c>
      <c r="B88" s="1092">
        <f t="shared" si="491"/>
        <v>0</v>
      </c>
      <c r="C88" s="1092">
        <f t="shared" si="492"/>
        <v>0</v>
      </c>
      <c r="D88" s="1092">
        <f t="shared" si="493"/>
        <v>0</v>
      </c>
      <c r="E88" s="1092">
        <f t="shared" si="494"/>
        <v>0</v>
      </c>
      <c r="F88" s="1092">
        <f t="shared" si="495"/>
        <v>0</v>
      </c>
      <c r="G88" s="280">
        <f t="shared" si="373"/>
        <v>0</v>
      </c>
      <c r="H88" s="280">
        <f t="shared" si="374"/>
        <v>0</v>
      </c>
      <c r="I88" s="280">
        <f t="shared" si="375"/>
        <v>0</v>
      </c>
      <c r="J88" s="280">
        <f t="shared" si="376"/>
        <v>0</v>
      </c>
      <c r="K88" s="280">
        <f t="shared" si="377"/>
        <v>0</v>
      </c>
      <c r="L88" s="381">
        <f t="shared" si="496"/>
        <v>0</v>
      </c>
      <c r="M88" s="381">
        <f t="shared" si="497"/>
        <v>0</v>
      </c>
      <c r="N88" s="381">
        <f t="shared" si="498"/>
        <v>0</v>
      </c>
      <c r="O88" s="381">
        <f t="shared" si="499"/>
        <v>0</v>
      </c>
      <c r="P88" s="381">
        <f t="shared" si="500"/>
        <v>0</v>
      </c>
      <c r="Q88" s="220"/>
      <c r="R88" s="1090">
        <v>1</v>
      </c>
      <c r="S88" s="657"/>
      <c r="T88" s="1531"/>
      <c r="U88" s="431" t="s">
        <v>378</v>
      </c>
      <c r="V88" s="687"/>
      <c r="W88" s="687"/>
      <c r="X88" s="687"/>
      <c r="Y88" s="686">
        <v>28</v>
      </c>
      <c r="Z88" s="1085">
        <v>1</v>
      </c>
      <c r="AA88" s="1477">
        <v>180</v>
      </c>
      <c r="AB88" s="1477"/>
      <c r="AC88" s="684">
        <v>0</v>
      </c>
      <c r="AD88" s="684">
        <v>60</v>
      </c>
      <c r="AE88" s="684">
        <v>0</v>
      </c>
      <c r="AF88" s="684">
        <v>60</v>
      </c>
      <c r="AG88" s="1477" t="s">
        <v>16</v>
      </c>
      <c r="AH88" s="1477"/>
      <c r="AI88" s="1467" t="str">
        <f t="shared" si="489"/>
        <v xml:space="preserve"> </v>
      </c>
      <c r="AJ88" s="1468"/>
      <c r="AK88" s="707" t="str">
        <f t="shared" si="503"/>
        <v xml:space="preserve"> </v>
      </c>
      <c r="AL88" s="1479"/>
      <c r="AM88" s="1395"/>
      <c r="AN88" s="1395"/>
      <c r="AO88" s="1480"/>
      <c r="AP88" s="143"/>
      <c r="AQ88" s="55"/>
      <c r="AR88" s="55"/>
      <c r="AS88" s="55"/>
      <c r="AT88" s="55"/>
      <c r="AU88" s="55"/>
      <c r="AV88" s="55"/>
      <c r="AW88" s="657"/>
      <c r="AX88" s="450"/>
      <c r="AY88" s="450"/>
      <c r="AZ88" s="450"/>
      <c r="BA88" s="450"/>
      <c r="BB88" s="450"/>
      <c r="BC88" s="450"/>
      <c r="BD88" s="450"/>
      <c r="BE88" s="450"/>
      <c r="BF88" s="1237"/>
      <c r="BG88" s="450"/>
      <c r="BH88" s="450"/>
      <c r="BI88" s="450"/>
      <c r="BJ88" s="450"/>
      <c r="BK88" s="450"/>
      <c r="BL88" s="450"/>
      <c r="BM88" s="450"/>
      <c r="BN88" s="431" t="s">
        <v>378</v>
      </c>
      <c r="BO88" s="450"/>
      <c r="BP88" s="701" t="str">
        <f t="shared" si="351"/>
        <v xml:space="preserve"> </v>
      </c>
      <c r="BQ88" s="693" t="e">
        <f>'DEGREE MARK SIMULATOR'!CW88</f>
        <v>#NUM!</v>
      </c>
      <c r="BR88" s="367" t="e">
        <f t="shared" si="361"/>
        <v>#NUM!</v>
      </c>
      <c r="BU88" s="461"/>
      <c r="BV88" s="461"/>
      <c r="BW88" s="461"/>
      <c r="BX88" s="196" t="str">
        <f t="shared" si="490"/>
        <v xml:space="preserve"> </v>
      </c>
      <c r="BY88" s="81" t="str">
        <f t="shared" si="353"/>
        <v xml:space="preserve"> </v>
      </c>
      <c r="BZ88" s="78">
        <f t="shared" si="362"/>
        <v>1</v>
      </c>
      <c r="CA88" s="55" t="s">
        <v>378</v>
      </c>
      <c r="CB88" s="132" t="s">
        <v>679</v>
      </c>
      <c r="CC88" s="138" t="s">
        <v>380</v>
      </c>
      <c r="CD88" s="37">
        <v>180</v>
      </c>
      <c r="CE88" s="35">
        <v>60</v>
      </c>
      <c r="CF88" s="35"/>
      <c r="CG88" s="36">
        <v>60</v>
      </c>
      <c r="CH88" s="36"/>
      <c r="CI88" s="37" t="s">
        <v>16</v>
      </c>
      <c r="CJ88" s="598">
        <v>29</v>
      </c>
      <c r="CK88" s="37">
        <v>36</v>
      </c>
      <c r="CL88" s="41" t="s">
        <v>904</v>
      </c>
      <c r="CM88" s="582" t="e">
        <f>$FT$49</f>
        <v>#NUM!</v>
      </c>
      <c r="CN88" s="41" t="s">
        <v>903</v>
      </c>
      <c r="CO88" s="366">
        <f>BS37</f>
        <v>0</v>
      </c>
      <c r="CR88" s="78" t="e">
        <f t="shared" si="501"/>
        <v>#NUM!</v>
      </c>
      <c r="CS88" s="78">
        <f t="shared" si="502"/>
        <v>0</v>
      </c>
      <c r="CT88" s="78" t="str">
        <f t="shared" si="413"/>
        <v>50 - 50</v>
      </c>
      <c r="CW88" s="613" t="e">
        <f t="shared" si="410"/>
        <v>#NUM!</v>
      </c>
      <c r="CX88" s="431" t="s">
        <v>378</v>
      </c>
      <c r="IJ88" s="431" t="str">
        <f t="shared" si="414"/>
        <v>Bath</v>
      </c>
      <c r="IK88" s="701" t="str">
        <f t="shared" si="415"/>
        <v xml:space="preserve"> </v>
      </c>
      <c r="IM88" s="431" t="s">
        <v>197</v>
      </c>
      <c r="IN88" s="196" t="str">
        <f t="shared" si="416"/>
        <v xml:space="preserve"> </v>
      </c>
      <c r="IO88" s="342"/>
      <c r="IP88" s="342"/>
      <c r="IQ88" s="78">
        <f t="shared" si="469"/>
        <v>13</v>
      </c>
      <c r="IR88" s="439" t="str">
        <f t="shared" si="473"/>
        <v xml:space="preserve"> </v>
      </c>
      <c r="IS88" s="280">
        <f t="shared" si="417"/>
        <v>0</v>
      </c>
      <c r="IT88" s="280">
        <f t="shared" si="418"/>
        <v>0</v>
      </c>
      <c r="IU88" s="280">
        <f t="shared" si="419"/>
        <v>0</v>
      </c>
      <c r="IV88" s="280">
        <f t="shared" si="420"/>
        <v>0</v>
      </c>
      <c r="IW88" s="280">
        <f t="shared" si="421"/>
        <v>0</v>
      </c>
      <c r="IX88" s="280">
        <f t="shared" si="422"/>
        <v>0</v>
      </c>
      <c r="IY88" s="280">
        <f t="shared" si="423"/>
        <v>0</v>
      </c>
      <c r="IZ88" s="280">
        <f t="shared" si="424"/>
        <v>0</v>
      </c>
      <c r="JA88" s="280">
        <f t="shared" si="425"/>
        <v>0</v>
      </c>
      <c r="JB88" s="280">
        <f t="shared" si="426"/>
        <v>0</v>
      </c>
      <c r="JC88" s="280">
        <f t="shared" si="427"/>
        <v>0</v>
      </c>
      <c r="JD88" s="280">
        <f t="shared" si="428"/>
        <v>0</v>
      </c>
      <c r="JE88" s="280">
        <f t="shared" si="429"/>
        <v>0</v>
      </c>
      <c r="JF88" s="280">
        <f t="shared" si="430"/>
        <v>0</v>
      </c>
      <c r="JG88" s="280">
        <f t="shared" si="431"/>
        <v>0</v>
      </c>
      <c r="JH88" s="280">
        <f t="shared" si="432"/>
        <v>0</v>
      </c>
      <c r="JI88" s="280">
        <f t="shared" si="433"/>
        <v>0</v>
      </c>
      <c r="JJ88" s="280">
        <f t="shared" si="434"/>
        <v>0</v>
      </c>
      <c r="JK88" s="280">
        <f t="shared" si="435"/>
        <v>0</v>
      </c>
      <c r="JL88" s="280">
        <f t="shared" si="436"/>
        <v>0</v>
      </c>
      <c r="JM88" s="280">
        <f t="shared" si="437"/>
        <v>0</v>
      </c>
      <c r="JN88" s="280">
        <f t="shared" si="438"/>
        <v>0</v>
      </c>
      <c r="JO88" s="280">
        <f t="shared" si="439"/>
        <v>0</v>
      </c>
      <c r="JP88" s="280">
        <f t="shared" si="440"/>
        <v>0</v>
      </c>
      <c r="JQ88" s="280">
        <f t="shared" si="441"/>
        <v>0</v>
      </c>
      <c r="JR88" s="280">
        <f t="shared" si="442"/>
        <v>0</v>
      </c>
      <c r="JS88" s="44">
        <f t="shared" si="461"/>
        <v>0</v>
      </c>
      <c r="JT88" s="343" t="e">
        <f t="shared" si="462"/>
        <v>#N/A</v>
      </c>
      <c r="JU88" s="431" t="s">
        <v>197</v>
      </c>
      <c r="JV88" s="280">
        <f t="shared" si="445"/>
        <v>0</v>
      </c>
      <c r="JW88" s="280">
        <f t="shared" si="446"/>
        <v>0</v>
      </c>
      <c r="JX88" s="280">
        <f t="shared" si="447"/>
        <v>0</v>
      </c>
      <c r="JY88" s="280">
        <f t="shared" si="448"/>
        <v>0</v>
      </c>
      <c r="JZ88" s="280">
        <f t="shared" si="449"/>
        <v>0</v>
      </c>
      <c r="KA88" s="280">
        <f t="shared" si="450"/>
        <v>0</v>
      </c>
      <c r="KB88" s="44">
        <f t="shared" si="463"/>
        <v>0</v>
      </c>
      <c r="KC88" s="343" t="e">
        <f t="shared" si="464"/>
        <v>#N/A</v>
      </c>
      <c r="KE88" s="280">
        <f t="shared" si="453"/>
        <v>0</v>
      </c>
      <c r="KF88" s="280">
        <f t="shared" si="454"/>
        <v>0</v>
      </c>
      <c r="KG88" s="280">
        <f t="shared" si="455"/>
        <v>0</v>
      </c>
      <c r="KH88" s="78">
        <f t="shared" si="465"/>
        <v>0</v>
      </c>
      <c r="KI88" s="592" t="str">
        <f t="shared" si="466"/>
        <v xml:space="preserve"> </v>
      </c>
      <c r="KJ88" s="280">
        <f t="shared" si="456"/>
        <v>0</v>
      </c>
      <c r="KK88" s="280">
        <f t="shared" si="457"/>
        <v>0</v>
      </c>
      <c r="KL88" s="280">
        <f t="shared" si="458"/>
        <v>0</v>
      </c>
      <c r="KM88" s="78">
        <f t="shared" si="467"/>
        <v>0</v>
      </c>
      <c r="KN88" s="458">
        <f t="shared" si="468"/>
        <v>0</v>
      </c>
      <c r="KO88" s="444"/>
      <c r="KP88" s="218"/>
      <c r="KQ88" s="218"/>
      <c r="NY88" s="544"/>
    </row>
    <row r="89" spans="1:389" ht="16.149999999999999" customHeight="1" x14ac:dyDescent="0.25">
      <c r="A89" s="431" t="str">
        <f t="shared" si="472"/>
        <v>Wolverhampton</v>
      </c>
      <c r="B89" s="1092">
        <f t="shared" si="491"/>
        <v>0</v>
      </c>
      <c r="C89" s="1092">
        <f t="shared" si="492"/>
        <v>0</v>
      </c>
      <c r="D89" s="1092">
        <f t="shared" si="493"/>
        <v>0</v>
      </c>
      <c r="E89" s="1092">
        <f t="shared" si="494"/>
        <v>0</v>
      </c>
      <c r="F89" s="1092">
        <f t="shared" si="495"/>
        <v>0</v>
      </c>
      <c r="G89" s="280">
        <f t="shared" si="373"/>
        <v>0</v>
      </c>
      <c r="H89" s="280">
        <f t="shared" si="374"/>
        <v>0</v>
      </c>
      <c r="I89" s="280">
        <f t="shared" si="375"/>
        <v>0</v>
      </c>
      <c r="J89" s="280">
        <f t="shared" si="376"/>
        <v>0</v>
      </c>
      <c r="K89" s="280">
        <f t="shared" si="377"/>
        <v>0</v>
      </c>
      <c r="L89" s="381">
        <f t="shared" si="496"/>
        <v>0</v>
      </c>
      <c r="M89" s="381">
        <f t="shared" si="497"/>
        <v>0</v>
      </c>
      <c r="N89" s="381">
        <f t="shared" si="498"/>
        <v>0</v>
      </c>
      <c r="O89" s="381">
        <f t="shared" si="499"/>
        <v>0</v>
      </c>
      <c r="P89" s="381">
        <f t="shared" si="500"/>
        <v>0</v>
      </c>
      <c r="Q89" s="220"/>
      <c r="R89" s="1090">
        <v>1</v>
      </c>
      <c r="S89" s="657"/>
      <c r="T89" s="1531"/>
      <c r="U89" s="431" t="s">
        <v>1053</v>
      </c>
      <c r="V89" s="687"/>
      <c r="W89" s="687"/>
      <c r="X89" s="687"/>
      <c r="Y89" s="686">
        <v>28</v>
      </c>
      <c r="Z89" s="1085">
        <v>1</v>
      </c>
      <c r="AA89" s="1477">
        <v>180</v>
      </c>
      <c r="AB89" s="1477"/>
      <c r="AC89" s="684">
        <v>0</v>
      </c>
      <c r="AD89" s="684">
        <v>0</v>
      </c>
      <c r="AE89" s="684">
        <v>0</v>
      </c>
      <c r="AF89" s="684">
        <v>60</v>
      </c>
      <c r="AG89" s="1477" t="s">
        <v>16</v>
      </c>
      <c r="AH89" s="1477"/>
      <c r="AI89" s="1467" t="str">
        <f t="shared" si="489"/>
        <v xml:space="preserve"> </v>
      </c>
      <c r="AJ89" s="1468"/>
      <c r="AK89" s="707" t="str">
        <f t="shared" si="503"/>
        <v xml:space="preserve"> </v>
      </c>
      <c r="AL89" s="1479"/>
      <c r="AM89" s="1395"/>
      <c r="AN89" s="1395"/>
      <c r="AO89" s="1480"/>
      <c r="AP89" s="143"/>
      <c r="AQ89" s="55"/>
      <c r="AR89" s="55"/>
      <c r="AS89" s="55"/>
      <c r="AT89" s="55"/>
      <c r="AU89" s="55"/>
      <c r="AV89" s="55"/>
      <c r="AW89" s="657"/>
      <c r="AX89" s="450"/>
      <c r="AY89" s="450"/>
      <c r="AZ89" s="1155"/>
      <c r="BA89" s="636"/>
      <c r="BB89" s="450"/>
      <c r="BC89" s="450"/>
      <c r="BD89" s="450"/>
      <c r="BE89" s="450"/>
      <c r="BF89" s="1237"/>
      <c r="BG89" s="450"/>
      <c r="BH89" s="450"/>
      <c r="BI89" s="450"/>
      <c r="BJ89" s="450"/>
      <c r="BK89" s="450"/>
      <c r="BL89" s="450"/>
      <c r="BM89" s="450"/>
      <c r="BN89" s="431" t="s">
        <v>1053</v>
      </c>
      <c r="BO89" s="450"/>
      <c r="BP89" s="701" t="str">
        <f t="shared" si="351"/>
        <v xml:space="preserve"> </v>
      </c>
      <c r="BQ89" s="693" t="e">
        <f>'DEGREE MARK SIMULATOR'!CW89</f>
        <v>#NUM!</v>
      </c>
      <c r="BR89" s="367" t="e">
        <f t="shared" si="361"/>
        <v>#NUM!</v>
      </c>
      <c r="BU89" s="461"/>
      <c r="BV89" s="461"/>
      <c r="BW89" s="461"/>
      <c r="BX89" s="196" t="str">
        <f t="shared" si="490"/>
        <v xml:space="preserve"> </v>
      </c>
      <c r="BY89" s="81" t="str">
        <f t="shared" si="353"/>
        <v xml:space="preserve"> </v>
      </c>
      <c r="BZ89" s="78">
        <f t="shared" si="362"/>
        <v>1</v>
      </c>
      <c r="CA89" s="165" t="s">
        <v>1053</v>
      </c>
      <c r="CB89" s="132" t="s">
        <v>680</v>
      </c>
      <c r="CC89" s="138" t="s">
        <v>383</v>
      </c>
      <c r="CD89" s="37">
        <v>180</v>
      </c>
      <c r="CE89" s="607">
        <v>60</v>
      </c>
      <c r="CF89" s="35"/>
      <c r="CG89" s="36"/>
      <c r="CH89" s="36"/>
      <c r="CI89" s="37" t="s">
        <v>16</v>
      </c>
      <c r="CJ89" s="598">
        <v>29</v>
      </c>
      <c r="CK89" s="37">
        <v>37</v>
      </c>
      <c r="CL89" s="41" t="s">
        <v>922</v>
      </c>
      <c r="CM89" s="610" t="e">
        <f>$HK$49</f>
        <v>#NUM!</v>
      </c>
      <c r="CN89" s="41" t="s">
        <v>923</v>
      </c>
      <c r="CO89" s="582" t="e">
        <f>$GA$49</f>
        <v>#NUM!</v>
      </c>
      <c r="CR89" s="78" t="e">
        <f>CM89*0.5</f>
        <v>#NUM!</v>
      </c>
      <c r="CS89" s="78" t="e">
        <f>CO89*0.5</f>
        <v>#NUM!</v>
      </c>
      <c r="CT89" s="78" t="str">
        <f t="shared" si="413"/>
        <v>50 - 50</v>
      </c>
      <c r="CW89" s="613" t="e">
        <f t="shared" si="410"/>
        <v>#NUM!</v>
      </c>
      <c r="CX89" s="431" t="s">
        <v>1053</v>
      </c>
      <c r="IJ89" s="431" t="str">
        <f t="shared" si="414"/>
        <v>Liverpool</v>
      </c>
      <c r="IK89" s="701" t="str">
        <f t="shared" si="415"/>
        <v xml:space="preserve"> </v>
      </c>
      <c r="IM89" s="431" t="s">
        <v>200</v>
      </c>
      <c r="IN89" s="196" t="str">
        <f t="shared" si="416"/>
        <v xml:space="preserve"> </v>
      </c>
      <c r="IO89" s="342"/>
      <c r="IP89" s="342"/>
      <c r="IQ89" s="78">
        <f t="shared" si="469"/>
        <v>14</v>
      </c>
      <c r="IR89" s="439" t="str">
        <f t="shared" si="473"/>
        <v xml:space="preserve"> </v>
      </c>
      <c r="IS89" s="280">
        <f t="shared" si="417"/>
        <v>0</v>
      </c>
      <c r="IT89" s="280">
        <f t="shared" si="418"/>
        <v>0</v>
      </c>
      <c r="IU89" s="280">
        <f t="shared" si="419"/>
        <v>0</v>
      </c>
      <c r="IV89" s="280">
        <f t="shared" si="420"/>
        <v>0</v>
      </c>
      <c r="IW89" s="280">
        <f t="shared" si="421"/>
        <v>0</v>
      </c>
      <c r="IX89" s="280">
        <f t="shared" si="422"/>
        <v>0</v>
      </c>
      <c r="IY89" s="280">
        <f t="shared" si="423"/>
        <v>0</v>
      </c>
      <c r="IZ89" s="280">
        <f t="shared" si="424"/>
        <v>0</v>
      </c>
      <c r="JA89" s="280">
        <f t="shared" si="425"/>
        <v>0</v>
      </c>
      <c r="JB89" s="280">
        <f t="shared" si="426"/>
        <v>0</v>
      </c>
      <c r="JC89" s="280">
        <f t="shared" si="427"/>
        <v>0</v>
      </c>
      <c r="JD89" s="280">
        <f t="shared" si="428"/>
        <v>0</v>
      </c>
      <c r="JE89" s="280">
        <f t="shared" si="429"/>
        <v>0</v>
      </c>
      <c r="JF89" s="280">
        <f t="shared" si="430"/>
        <v>0</v>
      </c>
      <c r="JG89" s="280">
        <f t="shared" si="431"/>
        <v>0</v>
      </c>
      <c r="JH89" s="280">
        <f t="shared" si="432"/>
        <v>0</v>
      </c>
      <c r="JI89" s="280">
        <f t="shared" si="433"/>
        <v>0</v>
      </c>
      <c r="JJ89" s="280">
        <f t="shared" si="434"/>
        <v>0</v>
      </c>
      <c r="JK89" s="280">
        <f t="shared" si="435"/>
        <v>0</v>
      </c>
      <c r="JL89" s="280">
        <f t="shared" si="436"/>
        <v>0</v>
      </c>
      <c r="JM89" s="280">
        <f t="shared" si="437"/>
        <v>0</v>
      </c>
      <c r="JN89" s="280">
        <f t="shared" si="438"/>
        <v>0</v>
      </c>
      <c r="JO89" s="280">
        <f t="shared" si="439"/>
        <v>0</v>
      </c>
      <c r="JP89" s="280">
        <f t="shared" si="440"/>
        <v>0</v>
      </c>
      <c r="JQ89" s="280">
        <f t="shared" si="441"/>
        <v>0</v>
      </c>
      <c r="JR89" s="280">
        <f t="shared" si="442"/>
        <v>0</v>
      </c>
      <c r="JS89" s="44">
        <f t="shared" si="461"/>
        <v>0</v>
      </c>
      <c r="JT89" s="343" t="e">
        <f t="shared" si="462"/>
        <v>#N/A</v>
      </c>
      <c r="JU89" s="431" t="s">
        <v>219</v>
      </c>
      <c r="JV89" s="280">
        <f t="shared" si="445"/>
        <v>0</v>
      </c>
      <c r="JW89" s="280">
        <f t="shared" si="446"/>
        <v>0</v>
      </c>
      <c r="JX89" s="280">
        <f t="shared" si="447"/>
        <v>0</v>
      </c>
      <c r="JY89" s="280">
        <f t="shared" si="448"/>
        <v>0</v>
      </c>
      <c r="JZ89" s="280">
        <f t="shared" si="449"/>
        <v>0</v>
      </c>
      <c r="KA89" s="280">
        <f t="shared" si="450"/>
        <v>0</v>
      </c>
      <c r="KB89" s="44">
        <f t="shared" si="463"/>
        <v>0</v>
      </c>
      <c r="KC89" s="343" t="e">
        <f t="shared" si="464"/>
        <v>#N/A</v>
      </c>
      <c r="KE89" s="280">
        <f t="shared" si="453"/>
        <v>0</v>
      </c>
      <c r="KF89" s="280">
        <f t="shared" si="454"/>
        <v>0</v>
      </c>
      <c r="KG89" s="280">
        <f t="shared" si="455"/>
        <v>0</v>
      </c>
      <c r="KH89" s="78">
        <f t="shared" si="465"/>
        <v>0</v>
      </c>
      <c r="KI89" s="592" t="str">
        <f t="shared" si="466"/>
        <v xml:space="preserve"> </v>
      </c>
      <c r="KJ89" s="280">
        <f t="shared" si="456"/>
        <v>0</v>
      </c>
      <c r="KK89" s="280">
        <f t="shared" si="457"/>
        <v>0</v>
      </c>
      <c r="KL89" s="280">
        <f t="shared" si="458"/>
        <v>0</v>
      </c>
      <c r="KM89" s="78">
        <f t="shared" si="467"/>
        <v>0</v>
      </c>
      <c r="KN89" s="458">
        <f t="shared" si="468"/>
        <v>0</v>
      </c>
      <c r="NY89" s="544"/>
    </row>
    <row r="90" spans="1:389" ht="16.149999999999999" customHeight="1" x14ac:dyDescent="0.25">
      <c r="A90" s="431" t="str">
        <f t="shared" si="472"/>
        <v>Hertfordshire</v>
      </c>
      <c r="B90" s="1092">
        <f t="shared" si="491"/>
        <v>0</v>
      </c>
      <c r="C90" s="1092">
        <f t="shared" si="492"/>
        <v>0</v>
      </c>
      <c r="D90" s="1092">
        <f t="shared" si="493"/>
        <v>0</v>
      </c>
      <c r="E90" s="1092">
        <f t="shared" si="494"/>
        <v>0</v>
      </c>
      <c r="F90" s="1092">
        <f t="shared" si="495"/>
        <v>0</v>
      </c>
      <c r="G90" s="280">
        <f t="shared" si="373"/>
        <v>0</v>
      </c>
      <c r="H90" s="280">
        <f t="shared" si="374"/>
        <v>0</v>
      </c>
      <c r="I90" s="280">
        <f t="shared" si="375"/>
        <v>0</v>
      </c>
      <c r="J90" s="280">
        <f t="shared" si="376"/>
        <v>0</v>
      </c>
      <c r="K90" s="280">
        <f t="shared" si="377"/>
        <v>0</v>
      </c>
      <c r="L90" s="381">
        <f t="shared" si="496"/>
        <v>0</v>
      </c>
      <c r="M90" s="381">
        <f t="shared" si="497"/>
        <v>0</v>
      </c>
      <c r="N90" s="381">
        <f t="shared" si="498"/>
        <v>0</v>
      </c>
      <c r="O90" s="381">
        <f t="shared" si="499"/>
        <v>0</v>
      </c>
      <c r="P90" s="381">
        <f t="shared" si="500"/>
        <v>0</v>
      </c>
      <c r="Q90" s="220"/>
      <c r="R90" s="1090">
        <v>2</v>
      </c>
      <c r="S90" s="657"/>
      <c r="T90" s="1531"/>
      <c r="U90" s="431" t="s">
        <v>384</v>
      </c>
      <c r="V90" s="687"/>
      <c r="W90" s="687"/>
      <c r="X90" s="687"/>
      <c r="Y90" s="686">
        <v>29</v>
      </c>
      <c r="Z90" s="1085">
        <v>2</v>
      </c>
      <c r="AA90" s="1477">
        <v>180</v>
      </c>
      <c r="AB90" s="1477"/>
      <c r="AC90" s="684">
        <v>0</v>
      </c>
      <c r="AD90" s="684">
        <v>30</v>
      </c>
      <c r="AE90" s="684">
        <v>30</v>
      </c>
      <c r="AF90" s="684">
        <v>60</v>
      </c>
      <c r="AG90" s="1477" t="s">
        <v>23</v>
      </c>
      <c r="AH90" s="1477"/>
      <c r="AI90" s="1467" t="str">
        <f t="shared" si="489"/>
        <v xml:space="preserve"> </v>
      </c>
      <c r="AJ90" s="1468"/>
      <c r="AK90" s="707" t="str">
        <f t="shared" si="503"/>
        <v xml:space="preserve"> </v>
      </c>
      <c r="AL90" s="1479"/>
      <c r="AM90" s="1395"/>
      <c r="AN90" s="1395"/>
      <c r="AO90" s="1480"/>
      <c r="AP90" s="143"/>
      <c r="AQ90" s="55"/>
      <c r="AR90" s="55"/>
      <c r="AS90" s="55"/>
      <c r="AT90" s="55"/>
      <c r="AU90" s="55"/>
      <c r="AV90" s="55"/>
      <c r="AW90" s="657"/>
      <c r="AX90" s="450"/>
      <c r="AY90" s="450"/>
      <c r="AZ90" s="450"/>
      <c r="BA90" s="450"/>
      <c r="BB90" s="450"/>
      <c r="BC90" s="450"/>
      <c r="BD90" s="450"/>
      <c r="BE90" s="450"/>
      <c r="BF90" s="1237"/>
      <c r="BG90" s="450"/>
      <c r="BH90" s="450"/>
      <c r="BI90" s="450"/>
      <c r="BJ90" s="450"/>
      <c r="BK90" s="450"/>
      <c r="BL90" s="450"/>
      <c r="BM90" s="450"/>
      <c r="BN90" s="431" t="s">
        <v>384</v>
      </c>
      <c r="BO90" s="450"/>
      <c r="BP90" s="701" t="str">
        <f t="shared" si="351"/>
        <v xml:space="preserve"> </v>
      </c>
      <c r="BQ90" s="693" t="e">
        <f>'DEGREE MARK SIMULATOR'!CW90</f>
        <v>#NUM!</v>
      </c>
      <c r="BR90" s="367" t="e">
        <f t="shared" si="361"/>
        <v>#NUM!</v>
      </c>
      <c r="BU90" s="461"/>
      <c r="BV90" s="461"/>
      <c r="BW90" s="461"/>
      <c r="BX90" s="196" t="str">
        <f t="shared" si="490"/>
        <v xml:space="preserve"> </v>
      </c>
      <c r="BY90" s="81" t="str">
        <f t="shared" si="353"/>
        <v xml:space="preserve"> </v>
      </c>
      <c r="BZ90" s="78">
        <f t="shared" si="362"/>
        <v>1</v>
      </c>
      <c r="CA90" s="55" t="s">
        <v>384</v>
      </c>
      <c r="CB90" s="132" t="s">
        <v>386</v>
      </c>
      <c r="CC90" s="138" t="s">
        <v>387</v>
      </c>
      <c r="CD90" s="37">
        <v>180</v>
      </c>
      <c r="CE90" s="35">
        <v>60</v>
      </c>
      <c r="CF90" s="35"/>
      <c r="CG90" s="36">
        <v>30</v>
      </c>
      <c r="CH90" s="36">
        <v>30</v>
      </c>
      <c r="CI90" s="37" t="s">
        <v>23</v>
      </c>
      <c r="CJ90" s="598">
        <v>29</v>
      </c>
      <c r="CK90" s="37">
        <v>38</v>
      </c>
      <c r="CL90" s="41" t="s">
        <v>904</v>
      </c>
      <c r="CM90" s="609" t="e">
        <f t="shared" ref="CM90:CO90" si="504">CM87</f>
        <v>#NUM!</v>
      </c>
      <c r="CN90" s="41" t="str">
        <f t="shared" si="504"/>
        <v>L2</v>
      </c>
      <c r="CO90" s="582" t="e">
        <f t="shared" si="504"/>
        <v>#NUM!</v>
      </c>
      <c r="CR90" s="78" t="e">
        <f>CM90*0.75</f>
        <v>#NUM!</v>
      </c>
      <c r="CS90" s="78" t="e">
        <f>CO90*0.25</f>
        <v>#NUM!</v>
      </c>
      <c r="CT90" s="78" t="str">
        <f t="shared" si="413"/>
        <v>25 - 75</v>
      </c>
      <c r="CW90" s="613" t="e">
        <f t="shared" si="410"/>
        <v>#NUM!</v>
      </c>
      <c r="CX90" s="431" t="s">
        <v>384</v>
      </c>
      <c r="IJ90" s="431" t="str">
        <f t="shared" si="414"/>
        <v>Manchester Met</v>
      </c>
      <c r="IK90" s="701" t="str">
        <f t="shared" si="415"/>
        <v xml:space="preserve"> </v>
      </c>
      <c r="IM90" s="431" t="s">
        <v>951</v>
      </c>
      <c r="IN90" s="196" t="str">
        <f t="shared" si="416"/>
        <v xml:space="preserve"> </v>
      </c>
      <c r="IO90" s="342"/>
      <c r="IP90" s="342"/>
      <c r="IQ90" s="78">
        <f t="shared" si="469"/>
        <v>15</v>
      </c>
      <c r="IR90" s="439" t="str">
        <f t="shared" si="473"/>
        <v xml:space="preserve"> </v>
      </c>
      <c r="IS90" s="280">
        <f t="shared" si="417"/>
        <v>0</v>
      </c>
      <c r="IT90" s="280">
        <f t="shared" si="418"/>
        <v>0</v>
      </c>
      <c r="IU90" s="280">
        <f t="shared" si="419"/>
        <v>0</v>
      </c>
      <c r="IV90" s="280">
        <f t="shared" si="420"/>
        <v>0</v>
      </c>
      <c r="IW90" s="280">
        <f t="shared" si="421"/>
        <v>0</v>
      </c>
      <c r="IX90" s="280">
        <f t="shared" si="422"/>
        <v>0</v>
      </c>
      <c r="IY90" s="280">
        <f t="shared" si="423"/>
        <v>0</v>
      </c>
      <c r="IZ90" s="280">
        <f t="shared" si="424"/>
        <v>0</v>
      </c>
      <c r="JA90" s="280">
        <f t="shared" si="425"/>
        <v>0</v>
      </c>
      <c r="JB90" s="280">
        <f t="shared" si="426"/>
        <v>0</v>
      </c>
      <c r="JC90" s="280">
        <f t="shared" si="427"/>
        <v>0</v>
      </c>
      <c r="JD90" s="280">
        <f t="shared" si="428"/>
        <v>0</v>
      </c>
      <c r="JE90" s="280">
        <f t="shared" si="429"/>
        <v>0</v>
      </c>
      <c r="JF90" s="280">
        <f t="shared" si="430"/>
        <v>0</v>
      </c>
      <c r="JG90" s="280">
        <f t="shared" si="431"/>
        <v>0</v>
      </c>
      <c r="JH90" s="280">
        <f t="shared" si="432"/>
        <v>0</v>
      </c>
      <c r="JI90" s="280">
        <f t="shared" si="433"/>
        <v>0</v>
      </c>
      <c r="JJ90" s="280">
        <f t="shared" si="434"/>
        <v>0</v>
      </c>
      <c r="JK90" s="280">
        <f t="shared" si="435"/>
        <v>0</v>
      </c>
      <c r="JL90" s="280">
        <f t="shared" si="436"/>
        <v>0</v>
      </c>
      <c r="JM90" s="280">
        <f t="shared" si="437"/>
        <v>0</v>
      </c>
      <c r="JN90" s="280">
        <f t="shared" si="438"/>
        <v>0</v>
      </c>
      <c r="JO90" s="280">
        <f t="shared" si="439"/>
        <v>0</v>
      </c>
      <c r="JP90" s="280">
        <f t="shared" si="440"/>
        <v>0</v>
      </c>
      <c r="JQ90" s="280">
        <f t="shared" si="441"/>
        <v>0</v>
      </c>
      <c r="JR90" s="280">
        <f t="shared" si="442"/>
        <v>0</v>
      </c>
      <c r="JS90" s="44">
        <f t="shared" si="461"/>
        <v>0</v>
      </c>
      <c r="JT90" s="343" t="e">
        <f t="shared" si="462"/>
        <v>#N/A</v>
      </c>
      <c r="JU90" s="431" t="s">
        <v>257</v>
      </c>
      <c r="JV90" s="280">
        <f t="shared" si="445"/>
        <v>0</v>
      </c>
      <c r="JW90" s="280">
        <f t="shared" si="446"/>
        <v>0</v>
      </c>
      <c r="JX90" s="280">
        <f t="shared" si="447"/>
        <v>0</v>
      </c>
      <c r="JY90" s="280">
        <f t="shared" si="448"/>
        <v>0</v>
      </c>
      <c r="JZ90" s="280">
        <f t="shared" si="449"/>
        <v>0</v>
      </c>
      <c r="KA90" s="280">
        <f t="shared" si="450"/>
        <v>0</v>
      </c>
      <c r="KB90" s="44">
        <f t="shared" si="463"/>
        <v>0</v>
      </c>
      <c r="KC90" s="343" t="e">
        <f t="shared" si="464"/>
        <v>#N/A</v>
      </c>
      <c r="KE90" s="280">
        <f t="shared" si="453"/>
        <v>0</v>
      </c>
      <c r="KF90" s="280">
        <f t="shared" si="454"/>
        <v>0</v>
      </c>
      <c r="KG90" s="280">
        <f t="shared" si="455"/>
        <v>0</v>
      </c>
      <c r="KH90" s="78">
        <f t="shared" si="465"/>
        <v>0</v>
      </c>
      <c r="KI90" s="592" t="str">
        <f t="shared" si="466"/>
        <v xml:space="preserve"> </v>
      </c>
      <c r="KJ90" s="280">
        <f t="shared" si="456"/>
        <v>0</v>
      </c>
      <c r="KK90" s="280">
        <f t="shared" si="457"/>
        <v>0</v>
      </c>
      <c r="KL90" s="280">
        <f t="shared" si="458"/>
        <v>0</v>
      </c>
      <c r="KM90" s="78">
        <f t="shared" si="467"/>
        <v>0</v>
      </c>
      <c r="KN90" s="458">
        <f t="shared" si="468"/>
        <v>0</v>
      </c>
      <c r="NY90" s="544"/>
    </row>
    <row r="91" spans="1:389" ht="16.149999999999999" customHeight="1" x14ac:dyDescent="0.25">
      <c r="A91" s="431" t="str">
        <f t="shared" si="472"/>
        <v>East London</v>
      </c>
      <c r="B91" s="1092">
        <f t="shared" si="491"/>
        <v>0</v>
      </c>
      <c r="C91" s="1092">
        <f t="shared" si="492"/>
        <v>0</v>
      </c>
      <c r="D91" s="1092">
        <f t="shared" si="493"/>
        <v>0</v>
      </c>
      <c r="E91" s="1092">
        <f t="shared" si="494"/>
        <v>0</v>
      </c>
      <c r="F91" s="1092">
        <f t="shared" si="495"/>
        <v>0</v>
      </c>
      <c r="G91" s="280">
        <f t="shared" si="373"/>
        <v>0</v>
      </c>
      <c r="H91" s="280">
        <f t="shared" si="374"/>
        <v>0</v>
      </c>
      <c r="I91" s="280">
        <f t="shared" si="375"/>
        <v>0</v>
      </c>
      <c r="J91" s="280">
        <f t="shared" si="376"/>
        <v>0</v>
      </c>
      <c r="K91" s="280">
        <f t="shared" si="377"/>
        <v>0</v>
      </c>
      <c r="L91" s="381">
        <f t="shared" si="496"/>
        <v>0</v>
      </c>
      <c r="M91" s="381">
        <f t="shared" si="497"/>
        <v>0</v>
      </c>
      <c r="N91" s="381">
        <f t="shared" si="498"/>
        <v>0</v>
      </c>
      <c r="O91" s="381">
        <f t="shared" si="499"/>
        <v>0</v>
      </c>
      <c r="P91" s="381">
        <f t="shared" si="500"/>
        <v>0</v>
      </c>
      <c r="Q91" s="220"/>
      <c r="R91" s="1090">
        <v>1</v>
      </c>
      <c r="S91" s="657"/>
      <c r="T91" s="1531"/>
      <c r="U91" s="431" t="s">
        <v>392</v>
      </c>
      <c r="V91" s="687"/>
      <c r="W91" s="687"/>
      <c r="X91" s="687"/>
      <c r="Y91" s="686">
        <v>30</v>
      </c>
      <c r="Z91" s="1085">
        <v>1</v>
      </c>
      <c r="AA91" s="1477">
        <v>180</v>
      </c>
      <c r="AB91" s="1477"/>
      <c r="AC91" s="684">
        <v>0</v>
      </c>
      <c r="AD91" s="684">
        <v>30</v>
      </c>
      <c r="AE91" s="684">
        <v>30</v>
      </c>
      <c r="AF91" s="684">
        <v>60</v>
      </c>
      <c r="AG91" s="1477" t="s">
        <v>24</v>
      </c>
      <c r="AH91" s="1477"/>
      <c r="AI91" s="1467" t="str">
        <f t="shared" si="489"/>
        <v xml:space="preserve"> </v>
      </c>
      <c r="AJ91" s="1468"/>
      <c r="AK91" s="707" t="str">
        <f t="shared" si="503"/>
        <v xml:space="preserve"> </v>
      </c>
      <c r="AL91" s="1479"/>
      <c r="AM91" s="1395"/>
      <c r="AN91" s="1395"/>
      <c r="AO91" s="1480"/>
      <c r="AP91" s="143"/>
      <c r="AQ91" s="55"/>
      <c r="AR91" s="55"/>
      <c r="AS91" s="55"/>
      <c r="AT91" s="55"/>
      <c r="AU91" s="55"/>
      <c r="AV91" s="55"/>
      <c r="AW91" s="657"/>
      <c r="AX91" s="450"/>
      <c r="AY91" s="450"/>
      <c r="AZ91" s="450"/>
      <c r="BA91" s="450"/>
      <c r="BB91" s="450"/>
      <c r="BC91" s="450"/>
      <c r="BD91" s="450"/>
      <c r="BE91" s="450"/>
      <c r="BF91" s="1237"/>
      <c r="BG91" s="450"/>
      <c r="BH91" s="450"/>
      <c r="BI91" s="450"/>
      <c r="BJ91" s="450"/>
      <c r="BK91" s="450"/>
      <c r="BL91" s="450"/>
      <c r="BM91" s="450"/>
      <c r="BN91" s="431" t="s">
        <v>392</v>
      </c>
      <c r="BO91" s="450"/>
      <c r="BP91" s="701" t="str">
        <f t="shared" si="351"/>
        <v xml:space="preserve"> </v>
      </c>
      <c r="BQ91" s="693" t="e">
        <f>'DEGREE MARK SIMULATOR'!CW91</f>
        <v>#NUM!</v>
      </c>
      <c r="BR91" s="367" t="e">
        <f>ROUND(BQ91,2)</f>
        <v>#NUM!</v>
      </c>
      <c r="BX91" s="196" t="str">
        <f t="shared" si="490"/>
        <v xml:space="preserve"> </v>
      </c>
      <c r="BY91" s="81" t="str">
        <f t="shared" si="353"/>
        <v xml:space="preserve"> </v>
      </c>
      <c r="BZ91" s="78">
        <f t="shared" si="362"/>
        <v>1</v>
      </c>
      <c r="CA91" s="55" t="s">
        <v>392</v>
      </c>
      <c r="CB91" s="132" t="s">
        <v>394</v>
      </c>
      <c r="CC91" s="138" t="s">
        <v>395</v>
      </c>
      <c r="CD91" s="37">
        <v>180</v>
      </c>
      <c r="CE91" s="35">
        <v>60</v>
      </c>
      <c r="CF91" s="35"/>
      <c r="CG91" s="36">
        <v>30</v>
      </c>
      <c r="CH91" s="36">
        <v>30</v>
      </c>
      <c r="CI91" s="37" t="s">
        <v>24</v>
      </c>
      <c r="CJ91" s="598">
        <v>29</v>
      </c>
      <c r="CK91" s="37">
        <v>39</v>
      </c>
      <c r="CL91" s="41" t="s">
        <v>904</v>
      </c>
      <c r="CM91" s="609" t="e">
        <f t="shared" ref="CM91:CO91" si="505">CM90</f>
        <v>#NUM!</v>
      </c>
      <c r="CN91" s="41" t="str">
        <f t="shared" si="505"/>
        <v>L2</v>
      </c>
      <c r="CO91" s="582" t="e">
        <f t="shared" si="505"/>
        <v>#NUM!</v>
      </c>
      <c r="CR91" s="78" t="e">
        <f t="shared" si="411"/>
        <v>#NUM!</v>
      </c>
      <c r="CS91" s="78" t="e">
        <f t="shared" si="412"/>
        <v>#NUM!</v>
      </c>
      <c r="CT91" s="78" t="str">
        <f t="shared" si="413"/>
        <v>20 - 80</v>
      </c>
      <c r="CW91" s="613" t="e">
        <f t="shared" si="410"/>
        <v>#NUM!</v>
      </c>
      <c r="CX91" s="431" t="s">
        <v>392</v>
      </c>
      <c r="IJ91" s="431" t="str">
        <f t="shared" si="414"/>
        <v>Derby</v>
      </c>
      <c r="IK91" s="701" t="str">
        <f t="shared" si="415"/>
        <v xml:space="preserve"> </v>
      </c>
      <c r="IM91" s="431" t="s">
        <v>270</v>
      </c>
      <c r="IN91" s="196" t="str">
        <f t="shared" si="416"/>
        <v xml:space="preserve"> </v>
      </c>
      <c r="IO91" s="342"/>
      <c r="IP91" s="342"/>
      <c r="IQ91" s="78">
        <f t="shared" si="469"/>
        <v>16</v>
      </c>
      <c r="IR91" s="439" t="str">
        <f t="shared" si="473"/>
        <v xml:space="preserve"> </v>
      </c>
      <c r="IS91" s="280">
        <f t="shared" si="417"/>
        <v>0</v>
      </c>
      <c r="IT91" s="280">
        <f t="shared" si="418"/>
        <v>0</v>
      </c>
      <c r="IU91" s="280">
        <f t="shared" si="419"/>
        <v>0</v>
      </c>
      <c r="IV91" s="280">
        <f t="shared" si="420"/>
        <v>0</v>
      </c>
      <c r="IW91" s="280">
        <f t="shared" si="421"/>
        <v>0</v>
      </c>
      <c r="IX91" s="280">
        <f t="shared" si="422"/>
        <v>0</v>
      </c>
      <c r="IY91" s="280">
        <f t="shared" si="423"/>
        <v>0</v>
      </c>
      <c r="IZ91" s="280">
        <f t="shared" si="424"/>
        <v>0</v>
      </c>
      <c r="JA91" s="280">
        <f t="shared" si="425"/>
        <v>0</v>
      </c>
      <c r="JB91" s="280">
        <f t="shared" si="426"/>
        <v>0</v>
      </c>
      <c r="JC91" s="280">
        <f t="shared" si="427"/>
        <v>0</v>
      </c>
      <c r="JD91" s="280">
        <f t="shared" si="428"/>
        <v>0</v>
      </c>
      <c r="JE91" s="280">
        <f t="shared" si="429"/>
        <v>0</v>
      </c>
      <c r="JF91" s="280">
        <f t="shared" si="430"/>
        <v>0</v>
      </c>
      <c r="JG91" s="280">
        <f t="shared" si="431"/>
        <v>0</v>
      </c>
      <c r="JH91" s="280">
        <f t="shared" si="432"/>
        <v>0</v>
      </c>
      <c r="JI91" s="280">
        <f t="shared" si="433"/>
        <v>0</v>
      </c>
      <c r="JJ91" s="280">
        <f t="shared" si="434"/>
        <v>0</v>
      </c>
      <c r="JK91" s="280">
        <f t="shared" si="435"/>
        <v>0</v>
      </c>
      <c r="JL91" s="280">
        <f t="shared" si="436"/>
        <v>0</v>
      </c>
      <c r="JM91" s="280">
        <f t="shared" si="437"/>
        <v>0</v>
      </c>
      <c r="JN91" s="280">
        <f t="shared" si="438"/>
        <v>0</v>
      </c>
      <c r="JO91" s="280">
        <f t="shared" si="439"/>
        <v>0</v>
      </c>
      <c r="JP91" s="280">
        <f t="shared" si="440"/>
        <v>0</v>
      </c>
      <c r="JQ91" s="280">
        <f t="shared" si="441"/>
        <v>0</v>
      </c>
      <c r="JR91" s="280">
        <f t="shared" si="442"/>
        <v>0</v>
      </c>
      <c r="JS91" s="44">
        <f t="shared" si="461"/>
        <v>0</v>
      </c>
      <c r="JT91" s="343" t="e">
        <f t="shared" si="462"/>
        <v>#N/A</v>
      </c>
      <c r="JU91" s="431" t="s">
        <v>270</v>
      </c>
      <c r="JV91" s="280">
        <f t="shared" si="445"/>
        <v>0</v>
      </c>
      <c r="JW91" s="280">
        <f t="shared" si="446"/>
        <v>0</v>
      </c>
      <c r="JX91" s="280">
        <f t="shared" si="447"/>
        <v>0</v>
      </c>
      <c r="JY91" s="280">
        <f t="shared" si="448"/>
        <v>0</v>
      </c>
      <c r="JZ91" s="280">
        <f t="shared" si="449"/>
        <v>0</v>
      </c>
      <c r="KA91" s="280">
        <f t="shared" si="450"/>
        <v>0</v>
      </c>
      <c r="KB91" s="44">
        <f t="shared" si="463"/>
        <v>0</v>
      </c>
      <c r="KC91" s="343" t="e">
        <f t="shared" si="464"/>
        <v>#N/A</v>
      </c>
      <c r="KE91" s="280">
        <f t="shared" si="453"/>
        <v>0</v>
      </c>
      <c r="KF91" s="280">
        <f t="shared" si="454"/>
        <v>0</v>
      </c>
      <c r="KG91" s="280">
        <f t="shared" si="455"/>
        <v>0</v>
      </c>
      <c r="KH91" s="78">
        <f t="shared" si="465"/>
        <v>0</v>
      </c>
      <c r="KI91" s="592" t="str">
        <f t="shared" si="466"/>
        <v xml:space="preserve"> </v>
      </c>
      <c r="KJ91" s="280">
        <f t="shared" si="456"/>
        <v>0</v>
      </c>
      <c r="KK91" s="280">
        <f t="shared" si="457"/>
        <v>0</v>
      </c>
      <c r="KL91" s="280">
        <f t="shared" si="458"/>
        <v>0</v>
      </c>
      <c r="KM91" s="78">
        <f t="shared" si="467"/>
        <v>0</v>
      </c>
      <c r="KN91" s="458">
        <f t="shared" si="468"/>
        <v>0</v>
      </c>
      <c r="NY91" s="544"/>
    </row>
    <row r="92" spans="1:389" ht="16.149999999999999" customHeight="1" thickBot="1" x14ac:dyDescent="0.3">
      <c r="A92" s="704" t="str">
        <f t="shared" si="472"/>
        <v>Roehampton</v>
      </c>
      <c r="B92" s="1092">
        <f t="shared" si="491"/>
        <v>0</v>
      </c>
      <c r="C92" s="1092">
        <f t="shared" si="492"/>
        <v>0</v>
      </c>
      <c r="D92" s="1092">
        <f t="shared" si="493"/>
        <v>0</v>
      </c>
      <c r="E92" s="1092">
        <f t="shared" si="494"/>
        <v>0</v>
      </c>
      <c r="F92" s="1092">
        <f t="shared" si="495"/>
        <v>0</v>
      </c>
      <c r="G92" s="280">
        <f t="shared" si="373"/>
        <v>0</v>
      </c>
      <c r="H92" s="280">
        <f t="shared" si="374"/>
        <v>0</v>
      </c>
      <c r="I92" s="280">
        <f t="shared" si="375"/>
        <v>0</v>
      </c>
      <c r="J92" s="280">
        <f t="shared" si="376"/>
        <v>0</v>
      </c>
      <c r="K92" s="280">
        <f t="shared" si="377"/>
        <v>0</v>
      </c>
      <c r="L92" s="381">
        <f t="shared" si="496"/>
        <v>0</v>
      </c>
      <c r="M92" s="381">
        <f t="shared" si="497"/>
        <v>0</v>
      </c>
      <c r="N92" s="381">
        <f t="shared" si="498"/>
        <v>0</v>
      </c>
      <c r="O92" s="381">
        <f t="shared" si="499"/>
        <v>0</v>
      </c>
      <c r="P92" s="381">
        <f t="shared" si="500"/>
        <v>0</v>
      </c>
      <c r="Q92" s="220"/>
      <c r="R92" s="1090">
        <v>1</v>
      </c>
      <c r="S92" s="657"/>
      <c r="T92" s="1531"/>
      <c r="U92" s="704" t="s">
        <v>925</v>
      </c>
      <c r="V92" s="687"/>
      <c r="W92" s="687"/>
      <c r="X92" s="687"/>
      <c r="Y92" s="686">
        <v>31</v>
      </c>
      <c r="Z92" s="1085">
        <v>1</v>
      </c>
      <c r="AA92" s="1477">
        <v>160</v>
      </c>
      <c r="AB92" s="1477"/>
      <c r="AC92" s="684"/>
      <c r="AD92" s="684"/>
      <c r="AE92" s="684"/>
      <c r="AF92" s="684">
        <v>80</v>
      </c>
      <c r="AG92" s="1477" t="s">
        <v>16</v>
      </c>
      <c r="AH92" s="1477"/>
      <c r="AI92" s="1467" t="str">
        <f t="shared" ref="AI92" si="506">BP92</f>
        <v xml:space="preserve"> </v>
      </c>
      <c r="AJ92" s="1468"/>
      <c r="AK92" s="707" t="str">
        <f t="shared" si="503"/>
        <v xml:space="preserve"> </v>
      </c>
      <c r="AL92" s="1479"/>
      <c r="AM92" s="1395"/>
      <c r="AN92" s="1395"/>
      <c r="AO92" s="1480"/>
      <c r="AP92" s="143"/>
      <c r="AQ92" s="55"/>
      <c r="AR92" s="55"/>
      <c r="AS92" s="55"/>
      <c r="AT92" s="55"/>
      <c r="AU92" s="55"/>
      <c r="AV92" s="55"/>
      <c r="AW92" s="657"/>
      <c r="AX92" s="450"/>
      <c r="AY92" s="450"/>
      <c r="AZ92" s="450"/>
      <c r="BA92" s="450"/>
      <c r="BB92" s="450"/>
      <c r="BC92" s="450"/>
      <c r="BD92" s="450"/>
      <c r="BE92" s="450"/>
      <c r="BF92" s="1237"/>
      <c r="BG92" s="450"/>
      <c r="BH92" s="450"/>
      <c r="BI92" s="450"/>
      <c r="BJ92" s="450"/>
      <c r="BK92" s="450"/>
      <c r="BL92" s="450"/>
      <c r="BM92" s="450"/>
      <c r="BN92" s="704" t="s">
        <v>925</v>
      </c>
      <c r="BO92" s="450"/>
      <c r="BP92" s="701" t="str">
        <f t="shared" si="351"/>
        <v xml:space="preserve"> </v>
      </c>
      <c r="BQ92" s="693">
        <f>'DEGREE MARK SIMULATOR'!CW92</f>
        <v>0</v>
      </c>
      <c r="BR92" s="367">
        <f>ROUND(BQ92,2)</f>
        <v>0</v>
      </c>
      <c r="BX92" s="196" t="str">
        <f t="shared" si="490"/>
        <v xml:space="preserve"> </v>
      </c>
      <c r="BY92" s="81" t="str">
        <f t="shared" si="353"/>
        <v xml:space="preserve"> </v>
      </c>
      <c r="BZ92" s="78">
        <f t="shared" si="362"/>
        <v>1</v>
      </c>
      <c r="CA92" s="1058" t="s">
        <v>925</v>
      </c>
      <c r="CB92" s="132" t="s">
        <v>681</v>
      </c>
      <c r="CC92" s="630" t="s">
        <v>924</v>
      </c>
      <c r="CD92" s="37">
        <v>160</v>
      </c>
      <c r="CE92" s="607">
        <v>80</v>
      </c>
      <c r="CF92" s="35"/>
      <c r="CG92" s="36"/>
      <c r="CH92" s="36"/>
      <c r="CI92" s="37" t="s">
        <v>16</v>
      </c>
      <c r="CJ92" s="598">
        <v>30</v>
      </c>
      <c r="CK92" s="37">
        <v>40</v>
      </c>
      <c r="CL92" s="41" t="s">
        <v>904</v>
      </c>
      <c r="CM92" s="384"/>
      <c r="CN92" s="41" t="s">
        <v>903</v>
      </c>
      <c r="CR92" s="78">
        <f t="shared" si="411"/>
        <v>0</v>
      </c>
      <c r="CS92" s="78">
        <f t="shared" si="412"/>
        <v>0</v>
      </c>
      <c r="CT92" s="78" t="str">
        <f t="shared" si="413"/>
        <v>50 - 50</v>
      </c>
      <c r="CW92" s="649">
        <f>$EN$28</f>
        <v>0</v>
      </c>
      <c r="CX92" s="704" t="s">
        <v>925</v>
      </c>
      <c r="IJ92" s="431" t="str">
        <f t="shared" si="414"/>
        <v>Westminster</v>
      </c>
      <c r="IK92" s="701" t="str">
        <f t="shared" si="415"/>
        <v xml:space="preserve"> </v>
      </c>
      <c r="IM92" s="431" t="s">
        <v>288</v>
      </c>
      <c r="IN92" s="196" t="str">
        <f t="shared" si="416"/>
        <v xml:space="preserve"> </v>
      </c>
      <c r="IO92" s="342"/>
      <c r="IP92" s="342"/>
      <c r="IQ92" s="78">
        <f t="shared" si="469"/>
        <v>17</v>
      </c>
      <c r="IR92" s="439" t="str">
        <f t="shared" si="473"/>
        <v xml:space="preserve"> </v>
      </c>
      <c r="IS92" s="280">
        <f t="shared" si="417"/>
        <v>0</v>
      </c>
      <c r="IT92" s="280">
        <f t="shared" si="418"/>
        <v>0</v>
      </c>
      <c r="IU92" s="280">
        <f t="shared" si="419"/>
        <v>0</v>
      </c>
      <c r="IV92" s="280">
        <f t="shared" si="420"/>
        <v>0</v>
      </c>
      <c r="IW92" s="280">
        <f t="shared" si="421"/>
        <v>0</v>
      </c>
      <c r="IX92" s="280">
        <f t="shared" si="422"/>
        <v>0</v>
      </c>
      <c r="IY92" s="280">
        <f t="shared" si="423"/>
        <v>0</v>
      </c>
      <c r="IZ92" s="280">
        <f t="shared" si="424"/>
        <v>0</v>
      </c>
      <c r="JA92" s="280">
        <f t="shared" si="425"/>
        <v>0</v>
      </c>
      <c r="JB92" s="280">
        <f t="shared" si="426"/>
        <v>0</v>
      </c>
      <c r="JC92" s="280">
        <f t="shared" si="427"/>
        <v>0</v>
      </c>
      <c r="JD92" s="280">
        <f t="shared" si="428"/>
        <v>0</v>
      </c>
      <c r="JE92" s="280">
        <f t="shared" si="429"/>
        <v>0</v>
      </c>
      <c r="JF92" s="280">
        <f t="shared" si="430"/>
        <v>0</v>
      </c>
      <c r="JG92" s="280">
        <f t="shared" si="431"/>
        <v>0</v>
      </c>
      <c r="JH92" s="280">
        <f t="shared" si="432"/>
        <v>0</v>
      </c>
      <c r="JI92" s="280">
        <f t="shared" si="433"/>
        <v>0</v>
      </c>
      <c r="JJ92" s="280">
        <f t="shared" si="434"/>
        <v>0</v>
      </c>
      <c r="JK92" s="280">
        <f t="shared" si="435"/>
        <v>0</v>
      </c>
      <c r="JL92" s="280">
        <f t="shared" si="436"/>
        <v>0</v>
      </c>
      <c r="JM92" s="280">
        <f t="shared" si="437"/>
        <v>0</v>
      </c>
      <c r="JN92" s="280">
        <f t="shared" si="438"/>
        <v>0</v>
      </c>
      <c r="JO92" s="280">
        <f t="shared" si="439"/>
        <v>0</v>
      </c>
      <c r="JP92" s="280">
        <f t="shared" si="440"/>
        <v>0</v>
      </c>
      <c r="JQ92" s="280">
        <f t="shared" si="441"/>
        <v>0</v>
      </c>
      <c r="JR92" s="280">
        <f t="shared" si="442"/>
        <v>0</v>
      </c>
      <c r="JS92" s="44">
        <f t="shared" si="461"/>
        <v>0</v>
      </c>
      <c r="JT92" s="343" t="e">
        <f t="shared" si="462"/>
        <v>#N/A</v>
      </c>
      <c r="JU92" s="431" t="s">
        <v>1052</v>
      </c>
      <c r="JV92" s="280">
        <f t="shared" si="445"/>
        <v>0</v>
      </c>
      <c r="JW92" s="280">
        <f t="shared" si="446"/>
        <v>0</v>
      </c>
      <c r="JX92" s="280">
        <f t="shared" si="447"/>
        <v>0</v>
      </c>
      <c r="JY92" s="280">
        <f t="shared" si="448"/>
        <v>0</v>
      </c>
      <c r="JZ92" s="280">
        <f t="shared" si="449"/>
        <v>0</v>
      </c>
      <c r="KA92" s="280">
        <f t="shared" si="450"/>
        <v>0</v>
      </c>
      <c r="KB92" s="44">
        <f t="shared" si="463"/>
        <v>0</v>
      </c>
      <c r="KC92" s="343" t="e">
        <f t="shared" si="464"/>
        <v>#N/A</v>
      </c>
      <c r="KE92" s="280">
        <f t="shared" si="453"/>
        <v>0</v>
      </c>
      <c r="KF92" s="280">
        <f t="shared" si="454"/>
        <v>0</v>
      </c>
      <c r="KG92" s="280">
        <f t="shared" si="455"/>
        <v>0</v>
      </c>
      <c r="KH92" s="78">
        <f t="shared" si="465"/>
        <v>0</v>
      </c>
      <c r="KI92" s="592" t="str">
        <f t="shared" si="466"/>
        <v xml:space="preserve"> </v>
      </c>
      <c r="KJ92" s="280">
        <f t="shared" si="456"/>
        <v>0</v>
      </c>
      <c r="KK92" s="280">
        <f t="shared" si="457"/>
        <v>0</v>
      </c>
      <c r="KL92" s="280">
        <f t="shared" si="458"/>
        <v>0</v>
      </c>
      <c r="KM92" s="78">
        <f t="shared" si="467"/>
        <v>0</v>
      </c>
      <c r="KN92" s="458">
        <f t="shared" si="468"/>
        <v>0</v>
      </c>
      <c r="NY92" s="544"/>
    </row>
    <row r="93" spans="1:389" ht="16.149999999999999" customHeight="1" thickBot="1" x14ac:dyDescent="0.3">
      <c r="A93" s="431" t="str">
        <f t="shared" si="472"/>
        <v>Plymouth Marjon</v>
      </c>
      <c r="B93" s="1092">
        <f t="shared" si="491"/>
        <v>0</v>
      </c>
      <c r="C93" s="1092">
        <f t="shared" si="492"/>
        <v>0</v>
      </c>
      <c r="D93" s="1092">
        <f t="shared" si="493"/>
        <v>0</v>
      </c>
      <c r="E93" s="1092">
        <f t="shared" si="494"/>
        <v>0</v>
      </c>
      <c r="F93" s="1092">
        <f t="shared" si="495"/>
        <v>0</v>
      </c>
      <c r="G93" s="280">
        <f t="shared" si="373"/>
        <v>0</v>
      </c>
      <c r="H93" s="280">
        <f t="shared" si="374"/>
        <v>0</v>
      </c>
      <c r="I93" s="280">
        <f t="shared" si="375"/>
        <v>0</v>
      </c>
      <c r="J93" s="280">
        <f t="shared" si="376"/>
        <v>0</v>
      </c>
      <c r="K93" s="280">
        <f t="shared" si="377"/>
        <v>0</v>
      </c>
      <c r="L93" s="381">
        <f t="shared" si="496"/>
        <v>0</v>
      </c>
      <c r="M93" s="381">
        <f t="shared" si="497"/>
        <v>0</v>
      </c>
      <c r="N93" s="381">
        <f t="shared" si="498"/>
        <v>0</v>
      </c>
      <c r="O93" s="381">
        <f t="shared" si="499"/>
        <v>0</v>
      </c>
      <c r="P93" s="381">
        <f t="shared" si="500"/>
        <v>0</v>
      </c>
      <c r="Q93" s="220"/>
      <c r="R93" s="1090">
        <v>1</v>
      </c>
      <c r="S93" s="657"/>
      <c r="T93" s="1531"/>
      <c r="U93" s="431" t="s">
        <v>399</v>
      </c>
      <c r="V93" s="687"/>
      <c r="W93" s="687"/>
      <c r="X93" s="687"/>
      <c r="Y93" s="686">
        <v>32</v>
      </c>
      <c r="Z93" s="1085">
        <v>1</v>
      </c>
      <c r="AA93" s="1477">
        <v>160</v>
      </c>
      <c r="AB93" s="1477"/>
      <c r="AC93" s="684">
        <v>0</v>
      </c>
      <c r="AD93" s="684">
        <v>80</v>
      </c>
      <c r="AE93" s="684">
        <v>0</v>
      </c>
      <c r="AF93" s="684">
        <v>80</v>
      </c>
      <c r="AG93" s="1466" t="s">
        <v>1128</v>
      </c>
      <c r="AH93" s="1466"/>
      <c r="AI93" s="1467" t="str">
        <f>BP93</f>
        <v xml:space="preserve"> </v>
      </c>
      <c r="AJ93" s="1468"/>
      <c r="AK93" s="707" t="str">
        <f t="shared" si="503"/>
        <v xml:space="preserve"> </v>
      </c>
      <c r="AL93" s="1479"/>
      <c r="AM93" s="1395"/>
      <c r="AN93" s="1395"/>
      <c r="AO93" s="1480"/>
      <c r="AP93" s="143"/>
      <c r="AQ93" s="55"/>
      <c r="AR93" s="55"/>
      <c r="AS93" s="55"/>
      <c r="AT93" s="55"/>
      <c r="AU93" s="55"/>
      <c r="AV93" s="55"/>
      <c r="AW93" s="657"/>
      <c r="AX93" s="450"/>
      <c r="AY93" s="450"/>
      <c r="AZ93" s="450"/>
      <c r="BA93" s="450"/>
      <c r="BB93" s="450"/>
      <c r="BC93" s="450"/>
      <c r="BD93" s="450"/>
      <c r="BE93" s="450"/>
      <c r="BF93" s="1237"/>
      <c r="BG93" s="450"/>
      <c r="BH93" s="450"/>
      <c r="BI93" s="450"/>
      <c r="BJ93" s="450"/>
      <c r="BK93" s="450"/>
      <c r="BL93" s="450"/>
      <c r="BM93" s="450"/>
      <c r="BN93" s="431" t="s">
        <v>399</v>
      </c>
      <c r="BO93" s="450"/>
      <c r="BP93" s="701" t="str">
        <f t="shared" si="351"/>
        <v xml:space="preserve"> </v>
      </c>
      <c r="BQ93" s="693" t="e">
        <f>'DEGREE MARK SIMULATOR'!CW93</f>
        <v>#NUM!</v>
      </c>
      <c r="BR93" s="367" t="e">
        <f t="shared" si="361"/>
        <v>#NUM!</v>
      </c>
      <c r="BX93" s="196" t="str">
        <f t="shared" si="490"/>
        <v xml:space="preserve"> </v>
      </c>
      <c r="BY93" s="81" t="str">
        <f t="shared" si="353"/>
        <v xml:space="preserve"> </v>
      </c>
      <c r="BZ93" s="78">
        <f t="shared" si="362"/>
        <v>1</v>
      </c>
      <c r="CA93" s="55" t="s">
        <v>399</v>
      </c>
      <c r="CB93" s="132" t="s">
        <v>682</v>
      </c>
      <c r="CC93" s="138" t="s">
        <v>401</v>
      </c>
      <c r="CD93" s="37">
        <v>160</v>
      </c>
      <c r="CE93" s="35">
        <v>80</v>
      </c>
      <c r="CF93" s="35"/>
      <c r="CG93" s="36">
        <v>80</v>
      </c>
      <c r="CH93" s="36"/>
      <c r="CI93" s="615" t="s">
        <v>17</v>
      </c>
      <c r="CJ93" s="598">
        <v>31</v>
      </c>
      <c r="CK93" s="37">
        <v>41</v>
      </c>
      <c r="CL93" s="651" t="s">
        <v>939</v>
      </c>
      <c r="CM93" s="609" t="e">
        <f>$HY$49</f>
        <v>#NUM!</v>
      </c>
      <c r="CN93" s="41" t="s">
        <v>940</v>
      </c>
      <c r="CO93" s="626" t="e">
        <f>$HX$51</f>
        <v>#NUM!</v>
      </c>
      <c r="CP93" s="41" t="s">
        <v>941</v>
      </c>
      <c r="CQ93" s="582" t="e">
        <f>$GA$49</f>
        <v>#NUM!</v>
      </c>
      <c r="CR93" s="652" t="e">
        <f>CM93*3</f>
        <v>#NUM!</v>
      </c>
      <c r="CS93" s="652" t="e">
        <f>CO93*2</f>
        <v>#NUM!</v>
      </c>
      <c r="CT93" s="652" t="e">
        <f>CQ93*1</f>
        <v>#NUM!</v>
      </c>
      <c r="CU93" s="78">
        <v>6</v>
      </c>
      <c r="CV93" s="78" t="e">
        <f>SUM(CR93:CT93)</f>
        <v>#NUM!</v>
      </c>
      <c r="CW93" s="613" t="e">
        <f>CV93/CU93</f>
        <v>#NUM!</v>
      </c>
      <c r="CX93" s="431" t="s">
        <v>399</v>
      </c>
      <c r="IJ93" s="431" t="str">
        <f t="shared" si="414"/>
        <v>Oxford Brookes</v>
      </c>
      <c r="IK93" s="701" t="str">
        <f t="shared" si="415"/>
        <v xml:space="preserve"> </v>
      </c>
      <c r="IM93" s="431" t="s">
        <v>292</v>
      </c>
      <c r="IN93" s="196" t="str">
        <f t="shared" si="416"/>
        <v xml:space="preserve"> </v>
      </c>
      <c r="IO93" s="342"/>
      <c r="IP93" s="342"/>
      <c r="IQ93" s="78">
        <f t="shared" si="469"/>
        <v>18</v>
      </c>
      <c r="IR93" s="439" t="str">
        <f t="shared" si="473"/>
        <v xml:space="preserve"> </v>
      </c>
      <c r="IS93" s="280">
        <f t="shared" si="417"/>
        <v>0</v>
      </c>
      <c r="IT93" s="280">
        <f t="shared" si="418"/>
        <v>0</v>
      </c>
      <c r="IU93" s="280">
        <f t="shared" si="419"/>
        <v>0</v>
      </c>
      <c r="IV93" s="280">
        <f t="shared" si="420"/>
        <v>0</v>
      </c>
      <c r="IW93" s="280">
        <f t="shared" si="421"/>
        <v>0</v>
      </c>
      <c r="IX93" s="280">
        <f t="shared" si="422"/>
        <v>0</v>
      </c>
      <c r="IY93" s="280">
        <f t="shared" si="423"/>
        <v>0</v>
      </c>
      <c r="IZ93" s="280">
        <f t="shared" si="424"/>
        <v>0</v>
      </c>
      <c r="JA93" s="280">
        <f t="shared" si="425"/>
        <v>0</v>
      </c>
      <c r="JB93" s="280">
        <f t="shared" si="426"/>
        <v>0</v>
      </c>
      <c r="JC93" s="280">
        <f t="shared" si="427"/>
        <v>0</v>
      </c>
      <c r="JD93" s="280">
        <f t="shared" si="428"/>
        <v>0</v>
      </c>
      <c r="JE93" s="280">
        <f t="shared" si="429"/>
        <v>0</v>
      </c>
      <c r="JF93" s="280">
        <f t="shared" si="430"/>
        <v>0</v>
      </c>
      <c r="JG93" s="280">
        <f t="shared" si="431"/>
        <v>0</v>
      </c>
      <c r="JH93" s="280">
        <f t="shared" si="432"/>
        <v>0</v>
      </c>
      <c r="JI93" s="280">
        <f t="shared" si="433"/>
        <v>0</v>
      </c>
      <c r="JJ93" s="280">
        <f t="shared" si="434"/>
        <v>0</v>
      </c>
      <c r="JK93" s="280">
        <f t="shared" si="435"/>
        <v>0</v>
      </c>
      <c r="JL93" s="280">
        <f t="shared" si="436"/>
        <v>0</v>
      </c>
      <c r="JM93" s="280">
        <f t="shared" si="437"/>
        <v>0</v>
      </c>
      <c r="JN93" s="280">
        <f t="shared" si="438"/>
        <v>0</v>
      </c>
      <c r="JO93" s="280">
        <f t="shared" si="439"/>
        <v>0</v>
      </c>
      <c r="JP93" s="280">
        <f t="shared" si="440"/>
        <v>0</v>
      </c>
      <c r="JQ93" s="280">
        <f t="shared" si="441"/>
        <v>0</v>
      </c>
      <c r="JR93" s="280">
        <f t="shared" si="442"/>
        <v>0</v>
      </c>
      <c r="JS93" s="44">
        <f t="shared" si="461"/>
        <v>0</v>
      </c>
      <c r="JT93" s="343" t="e">
        <f t="shared" si="462"/>
        <v>#N/A</v>
      </c>
      <c r="JU93" s="431" t="s">
        <v>1050</v>
      </c>
      <c r="JV93" s="280">
        <f t="shared" si="445"/>
        <v>0</v>
      </c>
      <c r="JW93" s="280">
        <f t="shared" si="446"/>
        <v>0</v>
      </c>
      <c r="JX93" s="280">
        <f t="shared" si="447"/>
        <v>0</v>
      </c>
      <c r="JY93" s="280">
        <f t="shared" si="448"/>
        <v>0</v>
      </c>
      <c r="JZ93" s="280">
        <f t="shared" si="449"/>
        <v>0</v>
      </c>
      <c r="KA93" s="280">
        <f t="shared" si="450"/>
        <v>0</v>
      </c>
      <c r="KB93" s="44">
        <f t="shared" si="463"/>
        <v>0</v>
      </c>
      <c r="KC93" s="343" t="e">
        <f t="shared" si="464"/>
        <v>#N/A</v>
      </c>
      <c r="KE93" s="280">
        <f t="shared" si="453"/>
        <v>0</v>
      </c>
      <c r="KF93" s="280">
        <f t="shared" si="454"/>
        <v>0</v>
      </c>
      <c r="KG93" s="280">
        <f t="shared" si="455"/>
        <v>0</v>
      </c>
      <c r="KH93" s="78">
        <f t="shared" si="465"/>
        <v>0</v>
      </c>
      <c r="KI93" s="592" t="str">
        <f t="shared" si="466"/>
        <v xml:space="preserve"> </v>
      </c>
      <c r="KJ93" s="280">
        <f t="shared" si="456"/>
        <v>0</v>
      </c>
      <c r="KK93" s="280">
        <f t="shared" si="457"/>
        <v>0</v>
      </c>
      <c r="KL93" s="280">
        <f t="shared" si="458"/>
        <v>0</v>
      </c>
      <c r="KM93" s="78">
        <f t="shared" si="467"/>
        <v>0</v>
      </c>
      <c r="KN93" s="458">
        <f t="shared" si="468"/>
        <v>0</v>
      </c>
      <c r="NY93" s="544"/>
    </row>
    <row r="94" spans="1:389" ht="16.149999999999999" customHeight="1" x14ac:dyDescent="0.25">
      <c r="A94" s="431" t="str">
        <f t="shared" si="472"/>
        <v>Ravensbourne</v>
      </c>
      <c r="B94" s="1092">
        <f t="shared" si="491"/>
        <v>0</v>
      </c>
      <c r="C94" s="1092">
        <f t="shared" si="492"/>
        <v>0</v>
      </c>
      <c r="D94" s="1092">
        <f t="shared" si="493"/>
        <v>0</v>
      </c>
      <c r="E94" s="1092">
        <f t="shared" si="494"/>
        <v>0</v>
      </c>
      <c r="F94" s="1092">
        <f t="shared" si="495"/>
        <v>0</v>
      </c>
      <c r="G94" s="280">
        <f t="shared" si="373"/>
        <v>0</v>
      </c>
      <c r="H94" s="280">
        <f t="shared" si="374"/>
        <v>0</v>
      </c>
      <c r="I94" s="280">
        <f t="shared" si="375"/>
        <v>0</v>
      </c>
      <c r="J94" s="280">
        <f t="shared" si="376"/>
        <v>0</v>
      </c>
      <c r="K94" s="280">
        <f t="shared" si="377"/>
        <v>0</v>
      </c>
      <c r="L94" s="381">
        <f t="shared" si="496"/>
        <v>0</v>
      </c>
      <c r="M94" s="381">
        <f t="shared" si="497"/>
        <v>0</v>
      </c>
      <c r="N94" s="381">
        <f t="shared" si="498"/>
        <v>0</v>
      </c>
      <c r="O94" s="381">
        <f t="shared" si="499"/>
        <v>0</v>
      </c>
      <c r="P94" s="381">
        <f t="shared" si="500"/>
        <v>0</v>
      </c>
      <c r="Q94" s="220"/>
      <c r="R94" s="1090">
        <v>1</v>
      </c>
      <c r="S94" s="798"/>
      <c r="T94" s="1531"/>
      <c r="U94" s="431" t="s">
        <v>405</v>
      </c>
      <c r="V94" s="687"/>
      <c r="W94" s="687"/>
      <c r="X94" s="687"/>
      <c r="Y94" s="453">
        <v>33</v>
      </c>
      <c r="Z94" s="1086">
        <v>1</v>
      </c>
      <c r="AA94" s="1469">
        <v>120</v>
      </c>
      <c r="AB94" s="1469"/>
      <c r="AC94" s="617" t="s">
        <v>408</v>
      </c>
      <c r="AD94" s="617">
        <v>90</v>
      </c>
      <c r="AE94" s="617">
        <v>30</v>
      </c>
      <c r="AF94" s="617">
        <v>120</v>
      </c>
      <c r="AG94" s="1469" t="s">
        <v>16</v>
      </c>
      <c r="AH94" s="1469"/>
      <c r="AI94" s="1470" t="str">
        <f>BP94</f>
        <v xml:space="preserve"> </v>
      </c>
      <c r="AJ94" s="1471"/>
      <c r="AK94" s="707" t="str">
        <f t="shared" si="503"/>
        <v xml:space="preserve"> </v>
      </c>
      <c r="AL94" s="1479"/>
      <c r="AM94" s="1395"/>
      <c r="AN94" s="1395"/>
      <c r="AO94" s="1480"/>
      <c r="AP94" s="143"/>
      <c r="AQ94" s="55"/>
      <c r="AR94" s="55"/>
      <c r="AS94" s="55"/>
      <c r="AT94" s="55"/>
      <c r="AU94" s="55"/>
      <c r="AV94" s="55"/>
      <c r="AW94" s="657"/>
      <c r="AX94" s="450"/>
      <c r="AY94" s="450"/>
      <c r="AZ94" s="450"/>
      <c r="BA94" s="450"/>
      <c r="BB94" s="450"/>
      <c r="BC94" s="450"/>
      <c r="BD94" s="450"/>
      <c r="BE94" s="450"/>
      <c r="BF94" s="1237"/>
      <c r="BG94" s="450"/>
      <c r="BH94" s="450"/>
      <c r="BI94" s="450"/>
      <c r="BJ94" s="450"/>
      <c r="BK94" s="450"/>
      <c r="BL94" s="450"/>
      <c r="BM94" s="450"/>
      <c r="BN94" s="431" t="s">
        <v>405</v>
      </c>
      <c r="BO94" s="450"/>
      <c r="BP94" s="701" t="str">
        <f t="shared" si="351"/>
        <v xml:space="preserve"> </v>
      </c>
      <c r="BQ94" s="700" t="e">
        <f>'DEGREE MARK SIMULATOR'!CW94</f>
        <v>#NUM!</v>
      </c>
      <c r="BR94" s="367" t="e">
        <f>ROUND(BQ94,2)</f>
        <v>#NUM!</v>
      </c>
      <c r="BX94" s="196" t="str">
        <f t="shared" si="490"/>
        <v xml:space="preserve"> </v>
      </c>
      <c r="BY94" s="81" t="str">
        <f t="shared" si="353"/>
        <v xml:space="preserve"> </v>
      </c>
      <c r="BZ94" s="78">
        <f t="shared" si="362"/>
        <v>1</v>
      </c>
      <c r="CA94" s="55" t="s">
        <v>405</v>
      </c>
      <c r="CB94" s="132" t="s">
        <v>683</v>
      </c>
      <c r="CC94" s="148" t="s">
        <v>407</v>
      </c>
      <c r="CD94" s="37">
        <v>120</v>
      </c>
      <c r="CE94" s="35">
        <v>120</v>
      </c>
      <c r="CF94" s="35" t="s">
        <v>408</v>
      </c>
      <c r="CG94" s="36">
        <v>90</v>
      </c>
      <c r="CH94" s="36">
        <v>30</v>
      </c>
      <c r="CI94" s="37" t="s">
        <v>16</v>
      </c>
      <c r="CJ94" s="598">
        <v>32</v>
      </c>
      <c r="CK94" s="37">
        <v>42</v>
      </c>
      <c r="CL94" s="41" t="s">
        <v>904</v>
      </c>
      <c r="CM94" s="609" t="e">
        <f>HR48</f>
        <v>#NUM!</v>
      </c>
      <c r="CN94" s="41" t="s">
        <v>903</v>
      </c>
      <c r="CO94" s="582" t="e">
        <f>$GH$48</f>
        <v>#NUM!</v>
      </c>
      <c r="CR94" s="592" t="e">
        <f>(CM94+CO94)/120</f>
        <v>#NUM!</v>
      </c>
      <c r="CT94" s="78" t="str">
        <f t="shared" si="413"/>
        <v>50 - 50</v>
      </c>
      <c r="CW94" s="613" t="e">
        <f t="shared" si="410"/>
        <v>#NUM!</v>
      </c>
      <c r="CX94" s="431" t="s">
        <v>405</v>
      </c>
      <c r="IJ94" s="431" t="str">
        <f t="shared" si="414"/>
        <v>Winchester</v>
      </c>
      <c r="IK94" s="701" t="str">
        <f t="shared" si="415"/>
        <v xml:space="preserve"> </v>
      </c>
      <c r="IM94" s="431" t="s">
        <v>141</v>
      </c>
      <c r="IN94" s="196" t="str">
        <f t="shared" si="416"/>
        <v xml:space="preserve"> </v>
      </c>
      <c r="IO94" s="342"/>
      <c r="IP94" s="342"/>
      <c r="IQ94" s="78">
        <f t="shared" si="469"/>
        <v>19</v>
      </c>
      <c r="IR94" s="439" t="str">
        <f t="shared" si="473"/>
        <v xml:space="preserve"> </v>
      </c>
      <c r="IS94" s="280">
        <f t="shared" si="417"/>
        <v>0</v>
      </c>
      <c r="IT94" s="280">
        <f t="shared" si="418"/>
        <v>0</v>
      </c>
      <c r="IU94" s="280">
        <f t="shared" si="419"/>
        <v>0</v>
      </c>
      <c r="IV94" s="280">
        <f t="shared" si="420"/>
        <v>0</v>
      </c>
      <c r="IW94" s="280">
        <f t="shared" si="421"/>
        <v>0</v>
      </c>
      <c r="IX94" s="280">
        <f t="shared" si="422"/>
        <v>0</v>
      </c>
      <c r="IY94" s="280">
        <f t="shared" si="423"/>
        <v>0</v>
      </c>
      <c r="IZ94" s="280">
        <f t="shared" si="424"/>
        <v>0</v>
      </c>
      <c r="JA94" s="280">
        <f t="shared" si="425"/>
        <v>0</v>
      </c>
      <c r="JB94" s="280">
        <f t="shared" si="426"/>
        <v>0</v>
      </c>
      <c r="JC94" s="280">
        <f t="shared" si="427"/>
        <v>0</v>
      </c>
      <c r="JD94" s="280">
        <f t="shared" si="428"/>
        <v>0</v>
      </c>
      <c r="JE94" s="280">
        <f t="shared" si="429"/>
        <v>0</v>
      </c>
      <c r="JF94" s="280">
        <f t="shared" si="430"/>
        <v>0</v>
      </c>
      <c r="JG94" s="280">
        <f t="shared" si="431"/>
        <v>0</v>
      </c>
      <c r="JH94" s="280">
        <f t="shared" si="432"/>
        <v>0</v>
      </c>
      <c r="JI94" s="280">
        <f t="shared" si="433"/>
        <v>0</v>
      </c>
      <c r="JJ94" s="280">
        <f t="shared" si="434"/>
        <v>0</v>
      </c>
      <c r="JK94" s="280">
        <f t="shared" si="435"/>
        <v>0</v>
      </c>
      <c r="JL94" s="280">
        <f t="shared" si="436"/>
        <v>0</v>
      </c>
      <c r="JM94" s="280">
        <f t="shared" si="437"/>
        <v>0</v>
      </c>
      <c r="JN94" s="280">
        <f t="shared" si="438"/>
        <v>0</v>
      </c>
      <c r="JO94" s="280">
        <f t="shared" si="439"/>
        <v>0</v>
      </c>
      <c r="JP94" s="280">
        <f t="shared" si="440"/>
        <v>0</v>
      </c>
      <c r="JQ94" s="280">
        <f t="shared" si="441"/>
        <v>0</v>
      </c>
      <c r="JR94" s="280">
        <f t="shared" si="442"/>
        <v>0</v>
      </c>
      <c r="JS94" s="44">
        <f t="shared" si="461"/>
        <v>0</v>
      </c>
      <c r="JT94" s="343" t="e">
        <f t="shared" si="462"/>
        <v>#N/A</v>
      </c>
      <c r="JU94" s="431" t="s">
        <v>141</v>
      </c>
      <c r="JV94" s="280">
        <f t="shared" si="445"/>
        <v>0</v>
      </c>
      <c r="JW94" s="280">
        <f t="shared" si="446"/>
        <v>0</v>
      </c>
      <c r="JX94" s="280">
        <f t="shared" si="447"/>
        <v>0</v>
      </c>
      <c r="JY94" s="280">
        <f t="shared" si="448"/>
        <v>0</v>
      </c>
      <c r="JZ94" s="280">
        <f t="shared" si="449"/>
        <v>0</v>
      </c>
      <c r="KA94" s="280">
        <f t="shared" si="450"/>
        <v>0</v>
      </c>
      <c r="KB94" s="44">
        <f t="shared" si="463"/>
        <v>0</v>
      </c>
      <c r="KC94" s="343" t="e">
        <f t="shared" si="464"/>
        <v>#N/A</v>
      </c>
      <c r="KE94" s="280">
        <f t="shared" si="453"/>
        <v>0</v>
      </c>
      <c r="KF94" s="280">
        <f t="shared" si="454"/>
        <v>0</v>
      </c>
      <c r="KG94" s="280">
        <f t="shared" si="455"/>
        <v>0</v>
      </c>
      <c r="KH94" s="78">
        <f t="shared" si="465"/>
        <v>0</v>
      </c>
      <c r="KI94" s="592" t="str">
        <f t="shared" si="466"/>
        <v xml:space="preserve"> </v>
      </c>
      <c r="KJ94" s="280">
        <f t="shared" si="456"/>
        <v>0</v>
      </c>
      <c r="KK94" s="280">
        <f t="shared" si="457"/>
        <v>0</v>
      </c>
      <c r="KL94" s="280">
        <f t="shared" si="458"/>
        <v>0</v>
      </c>
      <c r="KM94" s="78">
        <f t="shared" si="467"/>
        <v>0</v>
      </c>
      <c r="KN94" s="458">
        <f t="shared" si="468"/>
        <v>0</v>
      </c>
      <c r="NY94" s="544"/>
    </row>
    <row r="95" spans="1:389" ht="16.149999999999999" customHeight="1" x14ac:dyDescent="0.25">
      <c r="A95" s="431"/>
      <c r="B95" s="1092"/>
      <c r="C95" s="1092"/>
      <c r="D95" s="1092"/>
      <c r="E95" s="1092"/>
      <c r="F95" s="1092"/>
      <c r="G95" s="280"/>
      <c r="H95" s="280"/>
      <c r="I95" s="280"/>
      <c r="J95" s="280"/>
      <c r="K95" s="280"/>
      <c r="L95" s="381"/>
      <c r="M95" s="381"/>
      <c r="N95" s="381"/>
      <c r="O95" s="381"/>
      <c r="P95" s="381"/>
      <c r="Q95" s="220"/>
      <c r="R95" s="1090" t="s">
        <v>29</v>
      </c>
      <c r="S95" s="798"/>
      <c r="T95" s="1531"/>
      <c r="U95" s="690" t="s">
        <v>947</v>
      </c>
      <c r="V95" s="442"/>
      <c r="W95" s="442"/>
      <c r="X95" s="442"/>
      <c r="Y95" s="313"/>
      <c r="Z95" s="1087" t="s">
        <v>29</v>
      </c>
      <c r="AA95" s="691"/>
      <c r="AB95" s="312"/>
      <c r="AC95" s="1119"/>
      <c r="AD95" s="1119"/>
      <c r="AE95" s="1119"/>
      <c r="AF95" s="1119"/>
      <c r="AG95" s="1112"/>
      <c r="AH95" s="313"/>
      <c r="AI95" s="708"/>
      <c r="AJ95" s="795"/>
      <c r="AK95" s="1075"/>
      <c r="AL95" s="1479"/>
      <c r="AM95" s="1395"/>
      <c r="AN95" s="1395"/>
      <c r="AO95" s="1480"/>
      <c r="AP95" s="143"/>
      <c r="AQ95" s="55"/>
      <c r="AR95" s="55"/>
      <c r="AS95" s="55"/>
      <c r="AT95" s="55"/>
      <c r="AU95" s="55"/>
      <c r="AV95" s="55"/>
      <c r="AW95" s="657"/>
      <c r="AX95" s="450"/>
      <c r="AY95" s="450"/>
      <c r="AZ95" s="450"/>
      <c r="BA95" s="450"/>
      <c r="BB95" s="450"/>
      <c r="BC95" s="450"/>
      <c r="BD95" s="450"/>
      <c r="BE95" s="450"/>
      <c r="BF95" s="1237"/>
      <c r="BG95" s="450"/>
      <c r="BH95" s="450"/>
      <c r="BI95" s="450"/>
      <c r="BJ95" s="450"/>
      <c r="BK95" s="450"/>
      <c r="BL95" s="450"/>
      <c r="BM95" s="450"/>
      <c r="BN95" s="1074" t="s">
        <v>970</v>
      </c>
      <c r="BO95" s="1046"/>
      <c r="BP95" s="1062" t="str">
        <f t="shared" si="351"/>
        <v xml:space="preserve"> </v>
      </c>
      <c r="BQ95" s="1063">
        <f>'DEGREE MARK SIMULATOR'!CW95</f>
        <v>0</v>
      </c>
      <c r="BR95" s="1064">
        <f t="shared" si="361"/>
        <v>0</v>
      </c>
      <c r="BS95" s="455"/>
      <c r="BT95" s="455"/>
      <c r="BU95" s="455"/>
      <c r="BV95" s="455"/>
      <c r="BW95" s="455"/>
      <c r="BX95" s="1066" t="str">
        <f t="shared" si="490"/>
        <v xml:space="preserve"> </v>
      </c>
      <c r="BY95" s="81" t="str">
        <f t="shared" si="353"/>
        <v xml:space="preserve"> </v>
      </c>
      <c r="BZ95" s="78">
        <f t="shared" si="362"/>
        <v>0</v>
      </c>
      <c r="CA95" s="141" t="s">
        <v>414</v>
      </c>
      <c r="CB95" s="132" t="s">
        <v>416</v>
      </c>
      <c r="CC95" s="138" t="s">
        <v>714</v>
      </c>
      <c r="CD95" s="37">
        <v>120</v>
      </c>
      <c r="CE95" s="35"/>
      <c r="CF95" s="35"/>
      <c r="CG95" s="36"/>
      <c r="CH95" s="36"/>
      <c r="CI95" s="37" t="s">
        <v>417</v>
      </c>
      <c r="CJ95" s="311">
        <v>35</v>
      </c>
      <c r="CK95" s="37">
        <v>44</v>
      </c>
      <c r="CL95" s="41" t="s">
        <v>904</v>
      </c>
      <c r="CM95" s="366">
        <f>BS37</f>
        <v>0</v>
      </c>
      <c r="CR95" s="78">
        <f>CM95*1</f>
        <v>0</v>
      </c>
      <c r="CS95" s="78">
        <f t="shared" si="412"/>
        <v>0</v>
      </c>
      <c r="CT95" s="78" t="str">
        <f t="shared" si="413"/>
        <v>AVERAGE</v>
      </c>
      <c r="CW95" s="613">
        <f>CR95+CS95</f>
        <v>0</v>
      </c>
      <c r="CX95" s="704" t="s">
        <v>970</v>
      </c>
      <c r="IJ95" s="431" t="str">
        <f t="shared" si="414"/>
        <v>De Montfort</v>
      </c>
      <c r="IK95" s="701" t="str">
        <f t="shared" si="415"/>
        <v xml:space="preserve"> </v>
      </c>
      <c r="IM95" s="431" t="s">
        <v>295</v>
      </c>
      <c r="IN95" s="196" t="str">
        <f t="shared" si="416"/>
        <v xml:space="preserve"> </v>
      </c>
      <c r="IO95" s="342"/>
      <c r="IP95" s="342"/>
      <c r="IQ95" s="78">
        <f t="shared" si="469"/>
        <v>20</v>
      </c>
      <c r="IR95" s="439" t="str">
        <f t="shared" si="473"/>
        <v xml:space="preserve"> </v>
      </c>
      <c r="IS95" s="280">
        <f t="shared" si="417"/>
        <v>0</v>
      </c>
      <c r="IT95" s="280">
        <f t="shared" si="418"/>
        <v>0</v>
      </c>
      <c r="IU95" s="280">
        <f t="shared" si="419"/>
        <v>0</v>
      </c>
      <c r="IV95" s="280">
        <f t="shared" si="420"/>
        <v>0</v>
      </c>
      <c r="IW95" s="280">
        <f t="shared" si="421"/>
        <v>0</v>
      </c>
      <c r="IX95" s="280">
        <f t="shared" si="422"/>
        <v>0</v>
      </c>
      <c r="IY95" s="280">
        <f t="shared" si="423"/>
        <v>0</v>
      </c>
      <c r="IZ95" s="280">
        <f t="shared" si="424"/>
        <v>0</v>
      </c>
      <c r="JA95" s="280">
        <f t="shared" si="425"/>
        <v>0</v>
      </c>
      <c r="JB95" s="280">
        <f t="shared" si="426"/>
        <v>0</v>
      </c>
      <c r="JC95" s="280">
        <f t="shared" si="427"/>
        <v>0</v>
      </c>
      <c r="JD95" s="280">
        <f t="shared" si="428"/>
        <v>0</v>
      </c>
      <c r="JE95" s="280">
        <f t="shared" si="429"/>
        <v>0</v>
      </c>
      <c r="JF95" s="280">
        <f t="shared" si="430"/>
        <v>0</v>
      </c>
      <c r="JG95" s="280">
        <f t="shared" si="431"/>
        <v>0</v>
      </c>
      <c r="JH95" s="280">
        <f t="shared" si="432"/>
        <v>0</v>
      </c>
      <c r="JI95" s="280">
        <f t="shared" si="433"/>
        <v>0</v>
      </c>
      <c r="JJ95" s="280">
        <f t="shared" si="434"/>
        <v>0</v>
      </c>
      <c r="JK95" s="280">
        <f t="shared" si="435"/>
        <v>0</v>
      </c>
      <c r="JL95" s="280">
        <f t="shared" si="436"/>
        <v>0</v>
      </c>
      <c r="JM95" s="280">
        <f t="shared" si="437"/>
        <v>0</v>
      </c>
      <c r="JN95" s="280">
        <f t="shared" si="438"/>
        <v>0</v>
      </c>
      <c r="JO95" s="280">
        <f t="shared" si="439"/>
        <v>0</v>
      </c>
      <c r="JP95" s="280">
        <f t="shared" si="440"/>
        <v>0</v>
      </c>
      <c r="JQ95" s="280">
        <f t="shared" si="441"/>
        <v>0</v>
      </c>
      <c r="JR95" s="280">
        <f t="shared" si="442"/>
        <v>0</v>
      </c>
      <c r="JS95" s="44">
        <f t="shared" si="461"/>
        <v>0</v>
      </c>
      <c r="JT95" s="343" t="e">
        <f t="shared" si="462"/>
        <v>#N/A</v>
      </c>
      <c r="JU95" s="431" t="s">
        <v>295</v>
      </c>
      <c r="JV95" s="280">
        <f t="shared" si="445"/>
        <v>0</v>
      </c>
      <c r="JW95" s="280">
        <f t="shared" si="446"/>
        <v>0</v>
      </c>
      <c r="JX95" s="280">
        <f t="shared" si="447"/>
        <v>0</v>
      </c>
      <c r="JY95" s="280">
        <f t="shared" si="448"/>
        <v>0</v>
      </c>
      <c r="JZ95" s="280">
        <f t="shared" si="449"/>
        <v>0</v>
      </c>
      <c r="KA95" s="280">
        <f t="shared" si="450"/>
        <v>0</v>
      </c>
      <c r="KB95" s="44">
        <f t="shared" si="463"/>
        <v>0</v>
      </c>
      <c r="KC95" s="343" t="e">
        <f t="shared" si="464"/>
        <v>#N/A</v>
      </c>
      <c r="KE95" s="280">
        <f t="shared" si="453"/>
        <v>0</v>
      </c>
      <c r="KF95" s="280">
        <f t="shared" si="454"/>
        <v>0</v>
      </c>
      <c r="KG95" s="280">
        <f t="shared" si="455"/>
        <v>0</v>
      </c>
      <c r="KH95" s="78">
        <f t="shared" si="465"/>
        <v>0</v>
      </c>
      <c r="KI95" s="592" t="str">
        <f t="shared" si="466"/>
        <v xml:space="preserve"> </v>
      </c>
      <c r="KJ95" s="280">
        <f t="shared" si="456"/>
        <v>0</v>
      </c>
      <c r="KK95" s="280">
        <f t="shared" si="457"/>
        <v>0</v>
      </c>
      <c r="KL95" s="280">
        <f t="shared" si="458"/>
        <v>0</v>
      </c>
      <c r="KM95" s="78">
        <f t="shared" si="467"/>
        <v>0</v>
      </c>
      <c r="KN95" s="458">
        <f t="shared" si="468"/>
        <v>0</v>
      </c>
      <c r="NY95" s="544"/>
    </row>
    <row r="96" spans="1:389" ht="16.149999999999999" customHeight="1" x14ac:dyDescent="0.25">
      <c r="A96" s="704" t="str">
        <f>JU115</f>
        <v>Bedfordshire</v>
      </c>
      <c r="B96" s="1092">
        <f t="shared" ref="B96:F98" si="507">JW115</f>
        <v>0</v>
      </c>
      <c r="C96" s="1092">
        <f t="shared" si="507"/>
        <v>0</v>
      </c>
      <c r="D96" s="1092">
        <f t="shared" si="507"/>
        <v>0</v>
      </c>
      <c r="E96" s="1092">
        <f t="shared" si="507"/>
        <v>0</v>
      </c>
      <c r="F96" s="1092">
        <f t="shared" si="507"/>
        <v>0</v>
      </c>
      <c r="G96" s="280">
        <f t="shared" ref="G96:K97" si="508">IF(B96&gt;0,1,0)</f>
        <v>0</v>
      </c>
      <c r="H96" s="280">
        <f t="shared" si="508"/>
        <v>0</v>
      </c>
      <c r="I96" s="280">
        <f t="shared" si="508"/>
        <v>0</v>
      </c>
      <c r="J96" s="280">
        <f t="shared" si="508"/>
        <v>0</v>
      </c>
      <c r="K96" s="280">
        <f t="shared" si="508"/>
        <v>0</v>
      </c>
      <c r="L96" s="381">
        <f>IF(G96=1,R96,0)</f>
        <v>0</v>
      </c>
      <c r="M96" s="381">
        <f>IF(H96=1,R96,0)</f>
        <v>0</v>
      </c>
      <c r="N96" s="381">
        <f>IF(I96=1,R96,0)</f>
        <v>0</v>
      </c>
      <c r="O96" s="381">
        <f>IF(J96=1,R96,0)</f>
        <v>0</v>
      </c>
      <c r="P96" s="381">
        <f>IF(K96=1,R96,0)</f>
        <v>0</v>
      </c>
      <c r="Q96" s="220"/>
      <c r="R96" s="1090">
        <v>10</v>
      </c>
      <c r="S96" s="798"/>
      <c r="T96" s="1531"/>
      <c r="U96" s="704" t="s">
        <v>970</v>
      </c>
      <c r="V96" s="688"/>
      <c r="W96" s="688"/>
      <c r="X96" s="688"/>
      <c r="Y96" s="413">
        <v>35</v>
      </c>
      <c r="Z96" s="1088">
        <v>10</v>
      </c>
      <c r="AA96" s="1472">
        <v>120</v>
      </c>
      <c r="AB96" s="1472"/>
      <c r="AC96" s="618">
        <v>0</v>
      </c>
      <c r="AD96" s="618">
        <v>0</v>
      </c>
      <c r="AE96" s="618">
        <v>0</v>
      </c>
      <c r="AF96" s="618">
        <v>0</v>
      </c>
      <c r="AG96" s="1472" t="s">
        <v>417</v>
      </c>
      <c r="AH96" s="1472"/>
      <c r="AI96" s="1473" t="str">
        <f>BP95</f>
        <v xml:space="preserve"> </v>
      </c>
      <c r="AJ96" s="1474"/>
      <c r="AK96" s="707" t="str">
        <f>BY95</f>
        <v xml:space="preserve"> </v>
      </c>
      <c r="AL96" s="1479"/>
      <c r="AM96" s="1395"/>
      <c r="AN96" s="1395"/>
      <c r="AO96" s="1480"/>
      <c r="AP96" s="143"/>
      <c r="AQ96" s="55"/>
      <c r="AR96" s="55"/>
      <c r="AS96" s="55"/>
      <c r="AT96" s="55"/>
      <c r="AU96" s="55"/>
      <c r="AV96" s="55"/>
      <c r="AW96" s="657"/>
      <c r="AX96" s="450"/>
      <c r="AY96" s="450"/>
      <c r="AZ96" s="450"/>
      <c r="BA96" s="450"/>
      <c r="BB96" s="450"/>
      <c r="BC96" s="450"/>
      <c r="BD96" s="450"/>
      <c r="BE96" s="450"/>
      <c r="BF96" s="1237"/>
      <c r="BG96" s="450"/>
      <c r="BH96" s="450"/>
      <c r="BI96" s="450"/>
      <c r="BJ96" s="450"/>
      <c r="BK96" s="450"/>
      <c r="BL96" s="1089">
        <f>ROUND(P101,1)</f>
        <v>0</v>
      </c>
      <c r="BM96" s="450"/>
      <c r="BN96" s="1074" t="s">
        <v>447</v>
      </c>
      <c r="BO96" s="1046"/>
      <c r="BP96" s="1062" t="str">
        <f>IF($BP$54=6,BR96," ")</f>
        <v xml:space="preserve"> </v>
      </c>
      <c r="BQ96" s="1067" t="e">
        <f>'DEGREE MARK SIMULATOR'!CW96</f>
        <v>#NUM!</v>
      </c>
      <c r="BR96" s="1064" t="e">
        <f t="shared" si="361"/>
        <v>#NUM!</v>
      </c>
      <c r="BS96" s="455"/>
      <c r="BT96" s="455"/>
      <c r="BU96" s="455"/>
      <c r="BV96" s="455"/>
      <c r="BW96" s="455"/>
      <c r="BX96" s="1066" t="str">
        <f t="shared" si="490"/>
        <v xml:space="preserve"> </v>
      </c>
      <c r="BY96" s="81" t="str">
        <f t="shared" si="353"/>
        <v xml:space="preserve"> </v>
      </c>
      <c r="BZ96" s="78">
        <f t="shared" si="362"/>
        <v>1</v>
      </c>
      <c r="CA96" s="602" t="s">
        <v>447</v>
      </c>
      <c r="CB96" s="115" t="s">
        <v>449</v>
      </c>
      <c r="CC96" s="160" t="s">
        <v>716</v>
      </c>
      <c r="CD96" s="37">
        <v>100</v>
      </c>
      <c r="CE96" s="35">
        <v>20</v>
      </c>
      <c r="CF96" s="35"/>
      <c r="CG96" s="35"/>
      <c r="CH96" s="35">
        <v>20</v>
      </c>
      <c r="CI96" s="37" t="s">
        <v>417</v>
      </c>
      <c r="CJ96" s="311">
        <v>36</v>
      </c>
      <c r="CK96" s="37">
        <v>45</v>
      </c>
      <c r="CL96" s="41" t="s">
        <v>904</v>
      </c>
      <c r="CM96" s="610" t="e">
        <f>$HK$49</f>
        <v>#NUM!</v>
      </c>
      <c r="CR96" s="78" t="e">
        <f>CM96*1</f>
        <v>#NUM!</v>
      </c>
      <c r="CS96" s="78">
        <f t="shared" si="412"/>
        <v>0</v>
      </c>
      <c r="CT96" s="78" t="str">
        <f t="shared" si="413"/>
        <v>AVERAGE</v>
      </c>
      <c r="CW96" s="613" t="e">
        <f t="shared" si="410"/>
        <v>#NUM!</v>
      </c>
      <c r="CX96" s="704" t="s">
        <v>447</v>
      </c>
      <c r="IJ96" s="431" t="str">
        <f t="shared" si="414"/>
        <v>Greenwich</v>
      </c>
      <c r="IK96" s="701" t="str">
        <f t="shared" si="415"/>
        <v xml:space="preserve"> </v>
      </c>
      <c r="IM96" s="431" t="s">
        <v>299</v>
      </c>
      <c r="IN96" s="196" t="str">
        <f t="shared" si="416"/>
        <v xml:space="preserve"> </v>
      </c>
      <c r="IO96" s="342"/>
      <c r="IP96" s="342"/>
      <c r="IQ96" s="78">
        <f t="shared" si="469"/>
        <v>21</v>
      </c>
      <c r="IR96" s="439" t="str">
        <f t="shared" si="473"/>
        <v xml:space="preserve"> </v>
      </c>
      <c r="IS96" s="280">
        <f t="shared" si="417"/>
        <v>0</v>
      </c>
      <c r="IT96" s="280">
        <f t="shared" si="418"/>
        <v>0</v>
      </c>
      <c r="IU96" s="280">
        <f t="shared" si="419"/>
        <v>0</v>
      </c>
      <c r="IV96" s="280">
        <f t="shared" si="420"/>
        <v>0</v>
      </c>
      <c r="IW96" s="280">
        <f t="shared" si="421"/>
        <v>0</v>
      </c>
      <c r="IX96" s="280">
        <f t="shared" si="422"/>
        <v>0</v>
      </c>
      <c r="IY96" s="280">
        <f t="shared" si="423"/>
        <v>0</v>
      </c>
      <c r="IZ96" s="280">
        <f t="shared" si="424"/>
        <v>0</v>
      </c>
      <c r="JA96" s="280">
        <f t="shared" si="425"/>
        <v>0</v>
      </c>
      <c r="JB96" s="280">
        <f t="shared" si="426"/>
        <v>0</v>
      </c>
      <c r="JC96" s="280">
        <f t="shared" si="427"/>
        <v>0</v>
      </c>
      <c r="JD96" s="280">
        <f t="shared" si="428"/>
        <v>0</v>
      </c>
      <c r="JE96" s="280">
        <f t="shared" si="429"/>
        <v>0</v>
      </c>
      <c r="JF96" s="280">
        <f t="shared" si="430"/>
        <v>0</v>
      </c>
      <c r="JG96" s="280">
        <f t="shared" si="431"/>
        <v>0</v>
      </c>
      <c r="JH96" s="280">
        <f t="shared" si="432"/>
        <v>0</v>
      </c>
      <c r="JI96" s="280">
        <f t="shared" si="433"/>
        <v>0</v>
      </c>
      <c r="JJ96" s="280">
        <f t="shared" si="434"/>
        <v>0</v>
      </c>
      <c r="JK96" s="280">
        <f t="shared" si="435"/>
        <v>0</v>
      </c>
      <c r="JL96" s="280">
        <f t="shared" si="436"/>
        <v>0</v>
      </c>
      <c r="JM96" s="280">
        <f t="shared" si="437"/>
        <v>0</v>
      </c>
      <c r="JN96" s="280">
        <f t="shared" si="438"/>
        <v>0</v>
      </c>
      <c r="JO96" s="280">
        <f t="shared" si="439"/>
        <v>0</v>
      </c>
      <c r="JP96" s="280">
        <f t="shared" si="440"/>
        <v>0</v>
      </c>
      <c r="JQ96" s="280">
        <f t="shared" si="441"/>
        <v>0</v>
      </c>
      <c r="JR96" s="280">
        <f t="shared" si="442"/>
        <v>0</v>
      </c>
      <c r="JS96" s="44">
        <f t="shared" si="461"/>
        <v>0</v>
      </c>
      <c r="JT96" s="343" t="e">
        <f t="shared" si="462"/>
        <v>#N/A</v>
      </c>
      <c r="JU96" s="431" t="s">
        <v>299</v>
      </c>
      <c r="JV96" s="280">
        <f t="shared" si="445"/>
        <v>0</v>
      </c>
      <c r="JW96" s="280">
        <f t="shared" si="446"/>
        <v>0</v>
      </c>
      <c r="JX96" s="280">
        <f t="shared" si="447"/>
        <v>0</v>
      </c>
      <c r="JY96" s="280">
        <f t="shared" si="448"/>
        <v>0</v>
      </c>
      <c r="JZ96" s="280">
        <f t="shared" si="449"/>
        <v>0</v>
      </c>
      <c r="KA96" s="280">
        <f t="shared" si="450"/>
        <v>0</v>
      </c>
      <c r="KB96" s="44">
        <f t="shared" si="463"/>
        <v>0</v>
      </c>
      <c r="KC96" s="343" t="e">
        <f t="shared" si="464"/>
        <v>#N/A</v>
      </c>
      <c r="KE96" s="280">
        <f t="shared" si="453"/>
        <v>0</v>
      </c>
      <c r="KF96" s="280">
        <f t="shared" si="454"/>
        <v>0</v>
      </c>
      <c r="KG96" s="280">
        <f t="shared" si="455"/>
        <v>0</v>
      </c>
      <c r="KH96" s="78">
        <f t="shared" si="465"/>
        <v>0</v>
      </c>
      <c r="KI96" s="592" t="str">
        <f t="shared" si="466"/>
        <v xml:space="preserve"> </v>
      </c>
      <c r="KJ96" s="280">
        <f t="shared" si="456"/>
        <v>0</v>
      </c>
      <c r="KK96" s="280">
        <f t="shared" si="457"/>
        <v>0</v>
      </c>
      <c r="KL96" s="280">
        <f t="shared" si="458"/>
        <v>0</v>
      </c>
      <c r="KM96" s="78">
        <f t="shared" si="467"/>
        <v>0</v>
      </c>
      <c r="KN96" s="458">
        <f t="shared" si="468"/>
        <v>0</v>
      </c>
    </row>
    <row r="97" spans="1:327" ht="15" customHeight="1" x14ac:dyDescent="0.25">
      <c r="A97" s="704" t="str">
        <f>JU116</f>
        <v>Coventry</v>
      </c>
      <c r="B97" s="1092">
        <f t="shared" si="507"/>
        <v>0</v>
      </c>
      <c r="C97" s="1092">
        <f t="shared" si="507"/>
        <v>0</v>
      </c>
      <c r="D97" s="1092">
        <f t="shared" si="507"/>
        <v>0</v>
      </c>
      <c r="E97" s="1092">
        <f t="shared" si="507"/>
        <v>0</v>
      </c>
      <c r="F97" s="1092">
        <f t="shared" si="507"/>
        <v>0</v>
      </c>
      <c r="G97" s="280">
        <f t="shared" si="508"/>
        <v>0</v>
      </c>
      <c r="H97" s="280">
        <f t="shared" si="508"/>
        <v>0</v>
      </c>
      <c r="I97" s="280">
        <f t="shared" si="508"/>
        <v>0</v>
      </c>
      <c r="J97" s="280">
        <f t="shared" si="508"/>
        <v>0</v>
      </c>
      <c r="K97" s="280">
        <f t="shared" si="508"/>
        <v>0</v>
      </c>
      <c r="L97" s="381">
        <f>IF(G97=1,R97,0)</f>
        <v>0</v>
      </c>
      <c r="M97" s="381">
        <f>IF(H97=1,R97,0)</f>
        <v>0</v>
      </c>
      <c r="N97" s="381">
        <f>IF(I97=1,R97,0)</f>
        <v>0</v>
      </c>
      <c r="O97" s="381">
        <f>IF(J97=1,R97,0)</f>
        <v>0</v>
      </c>
      <c r="P97" s="381">
        <f>IF(K97=1,R97,0)</f>
        <v>0</v>
      </c>
      <c r="Q97" s="220"/>
      <c r="R97" s="1090">
        <v>2</v>
      </c>
      <c r="S97" s="798"/>
      <c r="T97" s="1531"/>
      <c r="U97" s="704" t="s">
        <v>447</v>
      </c>
      <c r="V97" s="688"/>
      <c r="W97" s="688"/>
      <c r="X97" s="688"/>
      <c r="Y97" s="453">
        <v>36</v>
      </c>
      <c r="Z97" s="1086">
        <v>2</v>
      </c>
      <c r="AA97" s="1469">
        <v>100</v>
      </c>
      <c r="AB97" s="1469"/>
      <c r="AC97" s="617">
        <v>0</v>
      </c>
      <c r="AD97" s="617">
        <v>0</v>
      </c>
      <c r="AE97" s="617">
        <v>20</v>
      </c>
      <c r="AF97" s="617">
        <v>20</v>
      </c>
      <c r="AG97" s="1469" t="s">
        <v>417</v>
      </c>
      <c r="AH97" s="1469"/>
      <c r="AI97" s="1470" t="str">
        <f>BP96</f>
        <v xml:space="preserve"> </v>
      </c>
      <c r="AJ97" s="1471"/>
      <c r="AK97" s="707" t="str">
        <f>BY96</f>
        <v xml:space="preserve"> </v>
      </c>
      <c r="AL97" s="1479"/>
      <c r="AM97" s="1395"/>
      <c r="AN97" s="1395"/>
      <c r="AO97" s="1480"/>
      <c r="AP97" s="143"/>
      <c r="AQ97" s="55"/>
      <c r="AR97" s="55"/>
      <c r="AS97" s="55"/>
      <c r="AT97" s="55"/>
      <c r="AU97" s="55"/>
      <c r="AV97" s="55"/>
      <c r="AW97" s="657"/>
      <c r="AX97" s="450"/>
      <c r="AY97" s="450"/>
      <c r="AZ97" s="450"/>
      <c r="BA97" s="450"/>
      <c r="BB97" s="450"/>
      <c r="BC97" s="450"/>
      <c r="BD97" s="450"/>
      <c r="BE97" s="450"/>
      <c r="BF97" s="1237"/>
      <c r="BG97" s="450"/>
      <c r="BH97" s="450"/>
      <c r="BI97" s="450"/>
      <c r="BJ97" s="450"/>
      <c r="BK97" s="450"/>
      <c r="BL97" s="450"/>
      <c r="BM97" s="450"/>
      <c r="BN97" s="450"/>
      <c r="BO97" s="450"/>
      <c r="BX97" s="196" t="str">
        <f t="shared" si="490"/>
        <v xml:space="preserve"> </v>
      </c>
      <c r="BY97" s="81"/>
      <c r="BZ97" s="81"/>
      <c r="CA97" s="462" t="e">
        <f>CE97</f>
        <v>#N/A</v>
      </c>
      <c r="CB97" s="81"/>
      <c r="CC97" s="81"/>
      <c r="CD97" s="81"/>
      <c r="CE97" s="463" t="e">
        <f>$KU$102</f>
        <v>#N/A</v>
      </c>
      <c r="CV97" s="317" t="s">
        <v>942</v>
      </c>
      <c r="CW97" s="467" t="e">
        <f>MAX(CW56:CW96)</f>
        <v>#NUM!</v>
      </c>
      <c r="CX97" s="78">
        <f>SUM(CX56:CX96)</f>
        <v>0</v>
      </c>
      <c r="IJ97" s="431" t="str">
        <f t="shared" si="414"/>
        <v>Kingston</v>
      </c>
      <c r="IK97" s="701" t="str">
        <f t="shared" si="415"/>
        <v xml:space="preserve"> </v>
      </c>
      <c r="IM97" s="431" t="s">
        <v>302</v>
      </c>
      <c r="IN97" s="196" t="str">
        <f t="shared" si="416"/>
        <v xml:space="preserve"> </v>
      </c>
      <c r="IO97" s="465"/>
      <c r="IP97" s="465"/>
      <c r="IQ97" s="78">
        <f>IQ96+1</f>
        <v>22</v>
      </c>
      <c r="IR97" s="439" t="str">
        <f t="shared" si="473"/>
        <v xml:space="preserve"> </v>
      </c>
      <c r="IS97" s="280">
        <f t="shared" si="417"/>
        <v>0</v>
      </c>
      <c r="IT97" s="280">
        <f t="shared" si="418"/>
        <v>0</v>
      </c>
      <c r="IU97" s="280">
        <f t="shared" si="419"/>
        <v>0</v>
      </c>
      <c r="IV97" s="280">
        <f t="shared" si="420"/>
        <v>0</v>
      </c>
      <c r="IW97" s="280">
        <f t="shared" si="421"/>
        <v>0</v>
      </c>
      <c r="IX97" s="280">
        <f t="shared" si="422"/>
        <v>0</v>
      </c>
      <c r="IY97" s="280">
        <f t="shared" si="423"/>
        <v>0</v>
      </c>
      <c r="IZ97" s="280">
        <f t="shared" si="424"/>
        <v>0</v>
      </c>
      <c r="JA97" s="280">
        <f t="shared" si="425"/>
        <v>0</v>
      </c>
      <c r="JB97" s="280">
        <f t="shared" si="426"/>
        <v>0</v>
      </c>
      <c r="JC97" s="280">
        <f t="shared" si="427"/>
        <v>0</v>
      </c>
      <c r="JD97" s="280">
        <f t="shared" si="428"/>
        <v>0</v>
      </c>
      <c r="JE97" s="280">
        <f t="shared" si="429"/>
        <v>0</v>
      </c>
      <c r="JF97" s="280">
        <f t="shared" si="430"/>
        <v>0</v>
      </c>
      <c r="JG97" s="280">
        <f t="shared" si="431"/>
        <v>0</v>
      </c>
      <c r="JH97" s="280">
        <f t="shared" si="432"/>
        <v>0</v>
      </c>
      <c r="JI97" s="280">
        <f t="shared" si="433"/>
        <v>0</v>
      </c>
      <c r="JJ97" s="280">
        <f t="shared" si="434"/>
        <v>0</v>
      </c>
      <c r="JK97" s="280">
        <f t="shared" si="435"/>
        <v>0</v>
      </c>
      <c r="JL97" s="280">
        <f t="shared" si="436"/>
        <v>0</v>
      </c>
      <c r="JM97" s="280">
        <f t="shared" si="437"/>
        <v>0</v>
      </c>
      <c r="JN97" s="280">
        <f t="shared" si="438"/>
        <v>0</v>
      </c>
      <c r="JO97" s="280">
        <f t="shared" si="439"/>
        <v>0</v>
      </c>
      <c r="JP97" s="280">
        <f t="shared" si="440"/>
        <v>0</v>
      </c>
      <c r="JQ97" s="280">
        <f t="shared" si="441"/>
        <v>0</v>
      </c>
      <c r="JR97" s="280">
        <f t="shared" si="442"/>
        <v>0</v>
      </c>
      <c r="JS97" s="44">
        <f t="shared" si="461"/>
        <v>0</v>
      </c>
      <c r="JT97" s="343" t="e">
        <f t="shared" si="462"/>
        <v>#N/A</v>
      </c>
      <c r="JU97" s="431" t="s">
        <v>302</v>
      </c>
      <c r="JV97" s="280">
        <f t="shared" si="445"/>
        <v>0</v>
      </c>
      <c r="JW97" s="280">
        <f t="shared" si="446"/>
        <v>0</v>
      </c>
      <c r="JX97" s="280">
        <f t="shared" si="447"/>
        <v>0</v>
      </c>
      <c r="JY97" s="280">
        <f t="shared" si="448"/>
        <v>0</v>
      </c>
      <c r="JZ97" s="280">
        <f t="shared" si="449"/>
        <v>0</v>
      </c>
      <c r="KA97" s="280">
        <f t="shared" si="450"/>
        <v>0</v>
      </c>
      <c r="KB97" s="44">
        <f t="shared" si="463"/>
        <v>0</v>
      </c>
      <c r="KC97" s="343" t="e">
        <f t="shared" si="464"/>
        <v>#N/A</v>
      </c>
      <c r="KE97" s="280">
        <f t="shared" si="453"/>
        <v>0</v>
      </c>
      <c r="KF97" s="280">
        <f t="shared" si="454"/>
        <v>0</v>
      </c>
      <c r="KG97" s="280">
        <f t="shared" si="455"/>
        <v>0</v>
      </c>
      <c r="KH97" s="78">
        <f t="shared" si="465"/>
        <v>0</v>
      </c>
      <c r="KI97" s="592" t="str">
        <f t="shared" si="466"/>
        <v xml:space="preserve"> </v>
      </c>
      <c r="KJ97" s="280">
        <f t="shared" si="456"/>
        <v>0</v>
      </c>
      <c r="KK97" s="280">
        <f t="shared" si="457"/>
        <v>0</v>
      </c>
      <c r="KL97" s="280">
        <f t="shared" si="458"/>
        <v>0</v>
      </c>
      <c r="KM97" s="78">
        <f t="shared" si="467"/>
        <v>0</v>
      </c>
      <c r="KN97" s="458">
        <f t="shared" si="468"/>
        <v>0</v>
      </c>
    </row>
    <row r="98" spans="1:327" ht="15" customHeight="1" x14ac:dyDescent="0.25">
      <c r="A98" s="78">
        <f>JU117</f>
        <v>0</v>
      </c>
      <c r="B98" s="1092">
        <f t="shared" si="507"/>
        <v>0</v>
      </c>
      <c r="C98" s="1092">
        <f t="shared" si="507"/>
        <v>0</v>
      </c>
      <c r="D98" s="1092">
        <f t="shared" si="507"/>
        <v>0</v>
      </c>
      <c r="E98" s="1092">
        <f t="shared" si="507"/>
        <v>0</v>
      </c>
      <c r="F98" s="1092">
        <f t="shared" si="507"/>
        <v>0</v>
      </c>
      <c r="G98" s="1094">
        <f t="shared" ref="G98:N98" si="509">SUM(G55:G97)</f>
        <v>0</v>
      </c>
      <c r="H98" s="1094">
        <f t="shared" si="509"/>
        <v>0</v>
      </c>
      <c r="I98" s="1094">
        <f t="shared" si="509"/>
        <v>0</v>
      </c>
      <c r="J98" s="1094">
        <f t="shared" si="509"/>
        <v>0</v>
      </c>
      <c r="K98" s="1094">
        <f t="shared" si="509"/>
        <v>0</v>
      </c>
      <c r="L98" s="1095">
        <f t="shared" si="509"/>
        <v>0</v>
      </c>
      <c r="M98" s="1095">
        <f t="shared" si="509"/>
        <v>0</v>
      </c>
      <c r="N98" s="1095">
        <f t="shared" si="509"/>
        <v>0</v>
      </c>
      <c r="O98" s="1095">
        <f>SUM(O55:P97)</f>
        <v>0</v>
      </c>
      <c r="P98" s="220">
        <f>SUM(L99:O99)</f>
        <v>0</v>
      </c>
      <c r="R98" s="1090">
        <f>SUM(R55:R97)</f>
        <v>122</v>
      </c>
      <c r="S98" s="1057"/>
      <c r="T98" s="1532"/>
      <c r="U98" s="1475" t="s">
        <v>1006</v>
      </c>
      <c r="V98" s="1476"/>
      <c r="W98" s="1476"/>
      <c r="X98" s="1476"/>
      <c r="Y98" s="442" t="s">
        <v>856</v>
      </c>
      <c r="Z98" s="442"/>
      <c r="AA98" s="705"/>
      <c r="AB98" s="705"/>
      <c r="AC98" s="705"/>
      <c r="AD98" s="705"/>
      <c r="AE98" s="705"/>
      <c r="AF98" s="705"/>
      <c r="AG98" s="705"/>
      <c r="AH98" s="705"/>
      <c r="AI98" s="705"/>
      <c r="AJ98" s="702"/>
      <c r="AK98" s="1081"/>
      <c r="AL98" s="174"/>
      <c r="AM98" s="174"/>
      <c r="AN98" s="105"/>
      <c r="AO98" s="891"/>
      <c r="AP98" s="55"/>
      <c r="AQ98" s="55"/>
      <c r="AR98" s="55"/>
      <c r="AS98" s="55"/>
      <c r="AT98" s="55"/>
      <c r="AU98" s="55"/>
      <c r="AV98" s="450"/>
      <c r="AW98" s="657"/>
      <c r="AX98" s="450"/>
      <c r="AY98" s="450"/>
      <c r="AZ98" s="450"/>
      <c r="BA98" s="450"/>
      <c r="BB98" s="450"/>
      <c r="BC98" s="450"/>
      <c r="BD98" s="450"/>
      <c r="BE98" s="450"/>
      <c r="BF98" s="1237"/>
      <c r="BG98" s="450"/>
      <c r="BH98" s="450"/>
      <c r="BI98" s="450"/>
      <c r="BJ98" s="450"/>
      <c r="BK98" s="450"/>
      <c r="BL98" s="450" t="str">
        <f>CONCATENATE(BL96,"%")</f>
        <v>0%</v>
      </c>
      <c r="BM98" s="450"/>
      <c r="BN98" s="450"/>
      <c r="BO98" s="450"/>
      <c r="CA98" s="277"/>
      <c r="CB98" s="81"/>
      <c r="CC98" s="81"/>
      <c r="CD98" s="81"/>
      <c r="CE98" s="464" t="s">
        <v>1004</v>
      </c>
      <c r="CV98" s="317" t="s">
        <v>943</v>
      </c>
      <c r="CW98" s="467" t="e">
        <f>MIN(CW56:CW96)</f>
        <v>#NUM!</v>
      </c>
      <c r="IJ98" s="431" t="str">
        <f t="shared" si="414"/>
        <v>Canterbury Christ Church</v>
      </c>
      <c r="IK98" s="701" t="str">
        <f t="shared" si="415"/>
        <v xml:space="preserve"> </v>
      </c>
      <c r="IM98" s="431" t="s">
        <v>306</v>
      </c>
      <c r="IN98" s="196" t="str">
        <f t="shared" si="416"/>
        <v xml:space="preserve"> </v>
      </c>
      <c r="IO98" s="465"/>
      <c r="IP98" s="465"/>
      <c r="IQ98" s="78">
        <f>IQ97+1</f>
        <v>23</v>
      </c>
      <c r="IR98" s="439" t="str">
        <f t="shared" si="473"/>
        <v xml:space="preserve"> </v>
      </c>
      <c r="IS98" s="280">
        <f t="shared" ref="IS98:IS116" si="510">IF(AND($IR98&gt;=$IS$30,$IR98&lt;$IT$30),IS$32,0)</f>
        <v>0</v>
      </c>
      <c r="IT98" s="280">
        <f t="shared" ref="IT98:IT116" si="511">IF(AND($IR98&gt;=$IT$30,$IR98&lt;$IU$30),IT$32,0)</f>
        <v>0</v>
      </c>
      <c r="IU98" s="280">
        <f t="shared" ref="IU98:IU116" si="512">IF(AND($IR98&gt;=$IU$30,$IR98&lt;$IV$30),IU$32,0)</f>
        <v>0</v>
      </c>
      <c r="IV98" s="280">
        <f t="shared" ref="IV98:IV116" si="513">IF(AND($IR98&gt;=$IV$30,$IR98&lt;$IW$30),IV$32,0)</f>
        <v>0</v>
      </c>
      <c r="IW98" s="280">
        <f t="shared" ref="IW98:IW116" si="514">IF(AND($IR98&gt;=$IW$30,$IR98&lt;$IX$30),IW$32,0)</f>
        <v>0</v>
      </c>
      <c r="IX98" s="280">
        <f t="shared" ref="IX98:IX116" si="515">IF(AND($IR98&gt;=$IX$30,$IR98&lt;$IY$30),IX$32,0)</f>
        <v>0</v>
      </c>
      <c r="IY98" s="280">
        <f t="shared" ref="IY98:IY116" si="516">IF(AND($IR98&gt;=$IY$30,$IR98&lt;$IZ$30),IY$32,0)</f>
        <v>0</v>
      </c>
      <c r="IZ98" s="280">
        <f t="shared" ref="IZ98:IZ116" si="517">IF(AND($IR98&gt;=$IZ$30,$IR98&lt;$JA$30),IZ$32,0)</f>
        <v>0</v>
      </c>
      <c r="JA98" s="280">
        <f t="shared" ref="JA98:JA116" si="518">IF(AND($IR98&gt;=$JA$30,$IR98&lt;$JB$30),JA$32,0)</f>
        <v>0</v>
      </c>
      <c r="JB98" s="280">
        <f t="shared" ref="JB98:JB116" si="519">IF(AND($IR98&gt;=$JB$30,$IR98&lt;$JC$30),JB$32,0)</f>
        <v>0</v>
      </c>
      <c r="JC98" s="280">
        <f t="shared" ref="JC98:JC116" si="520">IF(AND($IR98&gt;=$JC$30,$IR98&lt;$JD$30),JC$32,0)</f>
        <v>0</v>
      </c>
      <c r="JD98" s="280">
        <f t="shared" ref="JD98:JD116" si="521">IF(AND($IR98&gt;=$JD$30,$IR98&lt;$JE$30),JD$32,0)</f>
        <v>0</v>
      </c>
      <c r="JE98" s="280">
        <f t="shared" ref="JE98:JE116" si="522">IF(AND($IR98&gt;=$JE$30,$IR98&lt;$JF$30),JE$32,0)</f>
        <v>0</v>
      </c>
      <c r="JF98" s="280">
        <f t="shared" ref="JF98:JF116" si="523">IF(AND($IR98&gt;=$JF$30,$IR98&lt;$JG$30),JF$32,0)</f>
        <v>0</v>
      </c>
      <c r="JG98" s="280">
        <f t="shared" ref="JG98:JG116" si="524">IF(AND($IR98&gt;=$JG$30,$IR98&lt;$JH$30),JG$32,0)</f>
        <v>0</v>
      </c>
      <c r="JH98" s="280">
        <f t="shared" ref="JH98:JH116" si="525">IF(AND($IR98&gt;=$JH$30,$IR98&lt;$JI$30),JH$32,0)</f>
        <v>0</v>
      </c>
      <c r="JI98" s="280">
        <f t="shared" ref="JI98:JI116" si="526">IF(AND($IR98&gt;=$JI$30,$IR98&lt;$JJ$30),JI$32,0)</f>
        <v>0</v>
      </c>
      <c r="JJ98" s="280">
        <f t="shared" ref="JJ98:JJ116" si="527">IF(AND($IR98&gt;=$JJ$30,$IR98&lt;$JK$30),JJ$32,0)</f>
        <v>0</v>
      </c>
      <c r="JK98" s="280">
        <f t="shared" ref="JK98:JK116" si="528">IF(AND($IR98&gt;=$JK$30,$IR98&lt;$JL$30),JK$32,0)</f>
        <v>0</v>
      </c>
      <c r="JL98" s="280">
        <f t="shared" ref="JL98:JL116" si="529">IF(AND($IR98&gt;=$JL$30,$IR98&lt;$JM$30),JL$32,0)</f>
        <v>0</v>
      </c>
      <c r="JM98" s="280">
        <f t="shared" ref="JM98:JM116" si="530">IF(AND($IR98&gt;=$JM$30,$IR98&lt;$JN$30),JM$32,0)</f>
        <v>0</v>
      </c>
      <c r="JN98" s="280">
        <f t="shared" ref="JN98:JN116" si="531">IF(AND($IR98&gt;=$JN$30,$IR98&lt;$JO$30),JN$32,0)</f>
        <v>0</v>
      </c>
      <c r="JO98" s="280">
        <f t="shared" ref="JO98:JO116" si="532">IF(AND($IR98&gt;=$JO$30,$IR98&lt;$JP$30),JO$32,0)</f>
        <v>0</v>
      </c>
      <c r="JP98" s="280">
        <f t="shared" ref="JP98:JP116" si="533">IF(AND($IR98&gt;=$JP$30,$IR98&lt;$JQ$30),JP$32,0)</f>
        <v>0</v>
      </c>
      <c r="JQ98" s="280">
        <f t="shared" ref="JQ98:JQ116" si="534">IF(AND($IR98&gt;=$JQ$30,$IR98&lt;$JR$30),JQ$32,0)</f>
        <v>0</v>
      </c>
      <c r="JR98" s="280">
        <f t="shared" ref="JR98:JR116" si="535">IF(AND($IR98&gt;=$JR$30,$IR98&lt;$JS$30),JR$32,0)</f>
        <v>0</v>
      </c>
      <c r="JS98" s="44">
        <f t="shared" si="461"/>
        <v>0</v>
      </c>
      <c r="JT98" s="343" t="e">
        <f t="shared" si="462"/>
        <v>#N/A</v>
      </c>
      <c r="JU98" s="431" t="s">
        <v>306</v>
      </c>
      <c r="JV98" s="280">
        <f t="shared" ref="JV98:JV116" si="536">IF(AND($IR98&gt;=$JV$30,$IR98&lt;$JW$30),JV$32,0)</f>
        <v>0</v>
      </c>
      <c r="JW98" s="280">
        <f t="shared" ref="JW98:JW116" si="537">IF(AND($IR98&gt;=$JW$30,$IR98&lt;$JX$30),JW$32,0)</f>
        <v>0</v>
      </c>
      <c r="JX98" s="280">
        <f t="shared" ref="JX98:JX116" si="538">IF(AND($IR98&gt;=$JX$30,$IR98&lt;$JY$30),JX$32,0)</f>
        <v>0</v>
      </c>
      <c r="JY98" s="280">
        <f t="shared" ref="JY98:JY116" si="539">IF(AND($IR98&gt;=$JY$30,$IR98&lt;$JZ$30),JY$32,0)</f>
        <v>0</v>
      </c>
      <c r="JZ98" s="280">
        <f t="shared" ref="JZ98:JZ116" si="540">IF(AND($IR98&gt;=$JZ$30,$IR98&lt;$KA$30),JZ$32,0)</f>
        <v>0</v>
      </c>
      <c r="KA98" s="280">
        <f t="shared" ref="KA98:KA116" si="541">IF(AND($IR98&gt;=$KA$30,$IR98&lt;$KB$30),KA$32,0)</f>
        <v>0</v>
      </c>
      <c r="KB98" s="44">
        <f t="shared" si="463"/>
        <v>0</v>
      </c>
      <c r="KC98" s="343" t="e">
        <f t="shared" si="464"/>
        <v>#N/A</v>
      </c>
      <c r="KE98" s="280">
        <f t="shared" ref="KE98:KE116" si="542">IF(AND($IR98&gt;=$KE$30,$IR98&lt;$KE$29),KE$32,0)</f>
        <v>0</v>
      </c>
      <c r="KF98" s="280">
        <f t="shared" ref="KF98:KF116" si="543">IF(AND($IR98&gt;=$KF$30,$IR98&lt;$KF$29),KF$32,0)</f>
        <v>0</v>
      </c>
      <c r="KG98" s="280">
        <f t="shared" ref="KG98:KG116" si="544">IF(AND($IR98&gt;=$KG$30,$IR98&lt;$KG$29),KG$32,0)</f>
        <v>0</v>
      </c>
      <c r="KH98" s="78">
        <f t="shared" si="465"/>
        <v>0</v>
      </c>
      <c r="KI98" s="592" t="str">
        <f t="shared" si="466"/>
        <v xml:space="preserve"> </v>
      </c>
      <c r="KJ98" s="280">
        <f t="shared" ref="KJ98:KJ116" si="545">IF(AND($IR98&gt;=$KJ$30,$IR98&lt;$KJ$29),KJ$32,0)</f>
        <v>0</v>
      </c>
      <c r="KK98" s="280">
        <f t="shared" ref="KK98:KK116" si="546">IF(AND($IR98&gt;=$KK$30,$IR98&lt;$KK$29),KK$32,0)</f>
        <v>0</v>
      </c>
      <c r="KL98" s="280">
        <f t="shared" ref="KL98:KL116" si="547">IF(AND($IR98&gt;=$KL$30,$IR98&lt;$KL$29),KL$32,0)</f>
        <v>0</v>
      </c>
      <c r="KM98" s="78">
        <f t="shared" si="467"/>
        <v>0</v>
      </c>
      <c r="KN98" s="458">
        <f t="shared" si="468"/>
        <v>0</v>
      </c>
    </row>
    <row r="99" spans="1:327" ht="10.15" customHeight="1" x14ac:dyDescent="0.25">
      <c r="A99" s="218"/>
      <c r="B99" s="220"/>
      <c r="C99" s="220"/>
      <c r="D99" s="220"/>
      <c r="E99" s="220"/>
      <c r="F99" s="220"/>
      <c r="G99" s="1049"/>
      <c r="H99" s="1049"/>
      <c r="I99" s="1049"/>
      <c r="J99" s="1049" t="s">
        <v>1130</v>
      </c>
      <c r="K99" s="1049"/>
      <c r="L99" s="1049" t="str">
        <f>IF($BP$54=6,L98," ")</f>
        <v xml:space="preserve"> </v>
      </c>
      <c r="M99" s="1049" t="str">
        <f t="shared" ref="M99:P99" si="548">IF($BP$54=6,M98," ")</f>
        <v xml:space="preserve"> </v>
      </c>
      <c r="N99" s="1049" t="str">
        <f t="shared" si="548"/>
        <v xml:space="preserve"> </v>
      </c>
      <c r="O99" s="1049" t="str">
        <f t="shared" si="548"/>
        <v xml:space="preserve"> </v>
      </c>
      <c r="P99" s="1049" t="str">
        <f t="shared" si="548"/>
        <v xml:space="preserve"> </v>
      </c>
      <c r="R99" s="1049" t="s">
        <v>515</v>
      </c>
      <c r="S99" s="1057"/>
      <c r="T99" s="657"/>
      <c r="U99" s="796"/>
      <c r="V99" s="796"/>
      <c r="W99" s="796"/>
      <c r="X99" s="653"/>
      <c r="Y99" s="653"/>
      <c r="Z99" s="653"/>
      <c r="AA99" s="797"/>
      <c r="AB99" s="653"/>
      <c r="AC99" s="653"/>
      <c r="AD99" s="653"/>
      <c r="AE99" s="796"/>
      <c r="AF99" s="653"/>
      <c r="AG99" s="653"/>
      <c r="AH99" s="653"/>
      <c r="AI99" s="796"/>
      <c r="AJ99" s="796"/>
      <c r="AK99" s="796"/>
      <c r="AL99" s="653"/>
      <c r="AM99" s="653"/>
      <c r="AN99" s="657"/>
      <c r="AO99" s="657"/>
      <c r="AP99" s="657"/>
      <c r="AQ99" s="657"/>
      <c r="AR99" s="657"/>
      <c r="AS99" s="657"/>
      <c r="AT99" s="657"/>
      <c r="AU99" s="657"/>
      <c r="AV99" s="657"/>
      <c r="AW99" s="657"/>
      <c r="AX99" s="450"/>
      <c r="AY99" s="450"/>
      <c r="AZ99" s="450"/>
      <c r="BA99" s="450"/>
      <c r="BB99" s="450"/>
      <c r="BC99" s="450"/>
      <c r="BD99" s="450"/>
      <c r="BE99" s="450"/>
      <c r="BF99" s="1237"/>
      <c r="BG99" s="450"/>
      <c r="BH99" s="450"/>
      <c r="BI99" s="450"/>
      <c r="BJ99" s="450"/>
      <c r="BK99" s="450"/>
      <c r="BL99" s="450"/>
      <c r="BM99" s="450"/>
      <c r="BN99" s="450"/>
      <c r="BO99" s="450"/>
      <c r="CA99" s="277"/>
      <c r="CB99" s="81"/>
      <c r="CC99" s="81"/>
      <c r="CD99" s="81"/>
      <c r="CE99" s="666" t="s">
        <v>858</v>
      </c>
      <c r="CV99" s="317" t="s">
        <v>857</v>
      </c>
      <c r="CW99" s="467" t="e">
        <f>CW97-CW98</f>
        <v>#NUM!</v>
      </c>
      <c r="IJ99" s="431" t="str">
        <f t="shared" si="414"/>
        <v>West London</v>
      </c>
      <c r="IK99" s="701" t="str">
        <f t="shared" si="415"/>
        <v xml:space="preserve"> </v>
      </c>
      <c r="IM99" s="431" t="s">
        <v>316</v>
      </c>
      <c r="IN99" s="196" t="str">
        <f t="shared" si="416"/>
        <v xml:space="preserve"> </v>
      </c>
      <c r="IO99" s="465"/>
      <c r="IP99" s="465"/>
      <c r="IQ99" s="78">
        <f t="shared" si="469"/>
        <v>24</v>
      </c>
      <c r="IR99" s="439" t="str">
        <f t="shared" si="473"/>
        <v xml:space="preserve"> </v>
      </c>
      <c r="IS99" s="280">
        <f t="shared" si="510"/>
        <v>0</v>
      </c>
      <c r="IT99" s="280">
        <f t="shared" si="511"/>
        <v>0</v>
      </c>
      <c r="IU99" s="280">
        <f t="shared" si="512"/>
        <v>0</v>
      </c>
      <c r="IV99" s="280">
        <f t="shared" si="513"/>
        <v>0</v>
      </c>
      <c r="IW99" s="280">
        <f t="shared" si="514"/>
        <v>0</v>
      </c>
      <c r="IX99" s="280">
        <f t="shared" si="515"/>
        <v>0</v>
      </c>
      <c r="IY99" s="280">
        <f t="shared" si="516"/>
        <v>0</v>
      </c>
      <c r="IZ99" s="280">
        <f t="shared" si="517"/>
        <v>0</v>
      </c>
      <c r="JA99" s="280">
        <f t="shared" si="518"/>
        <v>0</v>
      </c>
      <c r="JB99" s="280">
        <f t="shared" si="519"/>
        <v>0</v>
      </c>
      <c r="JC99" s="280">
        <f t="shared" si="520"/>
        <v>0</v>
      </c>
      <c r="JD99" s="280">
        <f t="shared" si="521"/>
        <v>0</v>
      </c>
      <c r="JE99" s="280">
        <f t="shared" si="522"/>
        <v>0</v>
      </c>
      <c r="JF99" s="280">
        <f t="shared" si="523"/>
        <v>0</v>
      </c>
      <c r="JG99" s="280">
        <f t="shared" si="524"/>
        <v>0</v>
      </c>
      <c r="JH99" s="280">
        <f t="shared" si="525"/>
        <v>0</v>
      </c>
      <c r="JI99" s="280">
        <f t="shared" si="526"/>
        <v>0</v>
      </c>
      <c r="JJ99" s="280">
        <f t="shared" si="527"/>
        <v>0</v>
      </c>
      <c r="JK99" s="280">
        <f t="shared" si="528"/>
        <v>0</v>
      </c>
      <c r="JL99" s="280">
        <f t="shared" si="529"/>
        <v>0</v>
      </c>
      <c r="JM99" s="280">
        <f t="shared" si="530"/>
        <v>0</v>
      </c>
      <c r="JN99" s="280">
        <f t="shared" si="531"/>
        <v>0</v>
      </c>
      <c r="JO99" s="280">
        <f t="shared" si="532"/>
        <v>0</v>
      </c>
      <c r="JP99" s="280">
        <f t="shared" si="533"/>
        <v>0</v>
      </c>
      <c r="JQ99" s="280">
        <f t="shared" si="534"/>
        <v>0</v>
      </c>
      <c r="JR99" s="280">
        <f t="shared" si="535"/>
        <v>0</v>
      </c>
      <c r="JS99" s="44">
        <f t="shared" si="461"/>
        <v>0</v>
      </c>
      <c r="JT99" s="343" t="e">
        <f t="shared" si="462"/>
        <v>#N/A</v>
      </c>
      <c r="JU99" s="431" t="s">
        <v>316</v>
      </c>
      <c r="JV99" s="280">
        <f t="shared" si="536"/>
        <v>0</v>
      </c>
      <c r="JW99" s="280">
        <f t="shared" si="537"/>
        <v>0</v>
      </c>
      <c r="JX99" s="280">
        <f t="shared" si="538"/>
        <v>0</v>
      </c>
      <c r="JY99" s="280">
        <f t="shared" si="539"/>
        <v>0</v>
      </c>
      <c r="JZ99" s="280">
        <f t="shared" si="540"/>
        <v>0</v>
      </c>
      <c r="KA99" s="280">
        <f t="shared" si="541"/>
        <v>0</v>
      </c>
      <c r="KB99" s="44">
        <f t="shared" si="463"/>
        <v>0</v>
      </c>
      <c r="KC99" s="343" t="e">
        <f t="shared" si="464"/>
        <v>#N/A</v>
      </c>
      <c r="KE99" s="280">
        <f t="shared" si="542"/>
        <v>0</v>
      </c>
      <c r="KF99" s="280">
        <f t="shared" si="543"/>
        <v>0</v>
      </c>
      <c r="KG99" s="280">
        <f t="shared" si="544"/>
        <v>0</v>
      </c>
      <c r="KH99" s="78">
        <f t="shared" si="465"/>
        <v>0</v>
      </c>
      <c r="KI99" s="592" t="str">
        <f t="shared" si="466"/>
        <v xml:space="preserve"> </v>
      </c>
      <c r="KJ99" s="280">
        <f t="shared" si="545"/>
        <v>0</v>
      </c>
      <c r="KK99" s="280">
        <f t="shared" si="546"/>
        <v>0</v>
      </c>
      <c r="KL99" s="280">
        <f t="shared" si="547"/>
        <v>0</v>
      </c>
      <c r="KM99" s="78">
        <f t="shared" si="467"/>
        <v>0</v>
      </c>
      <c r="KN99" s="458">
        <f t="shared" si="468"/>
        <v>0</v>
      </c>
    </row>
    <row r="100" spans="1:327" ht="15" hidden="1" customHeight="1" x14ac:dyDescent="0.25">
      <c r="A100" s="220"/>
      <c r="B100" s="44"/>
      <c r="C100" s="44"/>
      <c r="D100" s="1055"/>
      <c r="E100" s="44"/>
      <c r="F100" s="220"/>
      <c r="G100" s="221"/>
      <c r="H100" s="221"/>
      <c r="I100" s="221"/>
      <c r="J100" s="221"/>
      <c r="K100" s="221"/>
      <c r="L100" s="221"/>
      <c r="M100" s="221"/>
      <c r="N100" s="221"/>
      <c r="O100" s="317"/>
      <c r="P100" s="317"/>
      <c r="R100" s="1049" t="str">
        <f>IF($BP$54=6,R99," ")</f>
        <v xml:space="preserve"> </v>
      </c>
      <c r="S100" s="81"/>
      <c r="T100" s="78"/>
      <c r="U100" s="1121"/>
      <c r="V100" s="444"/>
      <c r="W100" s="444"/>
      <c r="X100" s="1121"/>
      <c r="Y100" s="1121"/>
      <c r="Z100" s="450"/>
      <c r="AA100" s="450"/>
      <c r="AB100" s="450"/>
      <c r="AC100" s="450"/>
      <c r="AD100" s="450"/>
      <c r="AE100" s="450"/>
      <c r="AF100" s="450"/>
      <c r="AG100" s="450"/>
      <c r="AH100" s="450"/>
      <c r="AI100" s="450"/>
      <c r="AJ100" s="450"/>
      <c r="AK100" s="450"/>
      <c r="AL100" s="450"/>
      <c r="AM100" s="450"/>
      <c r="AN100" s="450"/>
      <c r="AO100" s="450"/>
      <c r="AP100" s="450"/>
      <c r="AQ100" s="450"/>
      <c r="AR100" s="450"/>
      <c r="AS100" s="450"/>
      <c r="AT100" s="450"/>
      <c r="AU100" s="450"/>
      <c r="AV100" s="450"/>
      <c r="AW100" s="657"/>
      <c r="AX100" s="450"/>
      <c r="AY100" s="450"/>
      <c r="AZ100" s="450"/>
      <c r="BA100" s="450"/>
      <c r="BB100" s="450"/>
      <c r="BC100" s="450"/>
      <c r="BD100" s="450"/>
      <c r="BE100" s="450"/>
      <c r="BF100" s="1237"/>
      <c r="BG100" s="450"/>
      <c r="BH100" s="450"/>
      <c r="BI100" s="450"/>
      <c r="BJ100" s="450"/>
      <c r="BK100" s="450"/>
      <c r="BL100" s="450"/>
      <c r="BM100" s="450"/>
      <c r="BN100" s="450"/>
      <c r="BO100" s="450"/>
      <c r="CA100" s="664">
        <f>IF($BP$54=6,CA97,0)</f>
        <v>0</v>
      </c>
      <c r="IJ100" s="431" t="str">
        <f t="shared" si="414"/>
        <v>Chester</v>
      </c>
      <c r="IK100" s="701" t="str">
        <f t="shared" si="415"/>
        <v xml:space="preserve"> </v>
      </c>
      <c r="IM100" s="431" t="s">
        <v>319</v>
      </c>
      <c r="IN100" s="196" t="str">
        <f t="shared" si="416"/>
        <v xml:space="preserve"> </v>
      </c>
      <c r="IQ100" s="78">
        <f t="shared" si="469"/>
        <v>25</v>
      </c>
      <c r="IR100" s="439" t="str">
        <f t="shared" si="473"/>
        <v xml:space="preserve"> </v>
      </c>
      <c r="IS100" s="280">
        <f t="shared" si="510"/>
        <v>0</v>
      </c>
      <c r="IT100" s="280">
        <f t="shared" si="511"/>
        <v>0</v>
      </c>
      <c r="IU100" s="280">
        <f t="shared" si="512"/>
        <v>0</v>
      </c>
      <c r="IV100" s="280">
        <f t="shared" si="513"/>
        <v>0</v>
      </c>
      <c r="IW100" s="280">
        <f t="shared" si="514"/>
        <v>0</v>
      </c>
      <c r="IX100" s="280">
        <f t="shared" si="515"/>
        <v>0</v>
      </c>
      <c r="IY100" s="280">
        <f t="shared" si="516"/>
        <v>0</v>
      </c>
      <c r="IZ100" s="280">
        <f t="shared" si="517"/>
        <v>0</v>
      </c>
      <c r="JA100" s="280">
        <f t="shared" si="518"/>
        <v>0</v>
      </c>
      <c r="JB100" s="280">
        <f t="shared" si="519"/>
        <v>0</v>
      </c>
      <c r="JC100" s="280">
        <f t="shared" si="520"/>
        <v>0</v>
      </c>
      <c r="JD100" s="280">
        <f t="shared" si="521"/>
        <v>0</v>
      </c>
      <c r="JE100" s="280">
        <f t="shared" si="522"/>
        <v>0</v>
      </c>
      <c r="JF100" s="280">
        <f t="shared" si="523"/>
        <v>0</v>
      </c>
      <c r="JG100" s="280">
        <f t="shared" si="524"/>
        <v>0</v>
      </c>
      <c r="JH100" s="280">
        <f t="shared" si="525"/>
        <v>0</v>
      </c>
      <c r="JI100" s="280">
        <f t="shared" si="526"/>
        <v>0</v>
      </c>
      <c r="JJ100" s="280">
        <f t="shared" si="527"/>
        <v>0</v>
      </c>
      <c r="JK100" s="280">
        <f t="shared" si="528"/>
        <v>0</v>
      </c>
      <c r="JL100" s="280">
        <f t="shared" si="529"/>
        <v>0</v>
      </c>
      <c r="JM100" s="280">
        <f t="shared" si="530"/>
        <v>0</v>
      </c>
      <c r="JN100" s="280">
        <f t="shared" si="531"/>
        <v>0</v>
      </c>
      <c r="JO100" s="280">
        <f t="shared" si="532"/>
        <v>0</v>
      </c>
      <c r="JP100" s="280">
        <f t="shared" si="533"/>
        <v>0</v>
      </c>
      <c r="JQ100" s="280">
        <f t="shared" si="534"/>
        <v>0</v>
      </c>
      <c r="JR100" s="280">
        <f t="shared" si="535"/>
        <v>0</v>
      </c>
      <c r="JS100" s="44">
        <f t="shared" si="461"/>
        <v>0</v>
      </c>
      <c r="JT100" s="343" t="e">
        <f t="shared" si="462"/>
        <v>#N/A</v>
      </c>
      <c r="JU100" s="431" t="s">
        <v>319</v>
      </c>
      <c r="JV100" s="280">
        <f t="shared" si="536"/>
        <v>0</v>
      </c>
      <c r="JW100" s="280">
        <f t="shared" si="537"/>
        <v>0</v>
      </c>
      <c r="JX100" s="280">
        <f t="shared" si="538"/>
        <v>0</v>
      </c>
      <c r="JY100" s="280">
        <f t="shared" si="539"/>
        <v>0</v>
      </c>
      <c r="JZ100" s="280">
        <f t="shared" si="540"/>
        <v>0</v>
      </c>
      <c r="KA100" s="280">
        <f t="shared" si="541"/>
        <v>0</v>
      </c>
      <c r="KB100" s="44">
        <f t="shared" si="463"/>
        <v>0</v>
      </c>
      <c r="KC100" s="343" t="e">
        <f t="shared" si="464"/>
        <v>#N/A</v>
      </c>
      <c r="KE100" s="280">
        <f t="shared" si="542"/>
        <v>0</v>
      </c>
      <c r="KF100" s="280">
        <f t="shared" si="543"/>
        <v>0</v>
      </c>
      <c r="KG100" s="280">
        <f t="shared" si="544"/>
        <v>0</v>
      </c>
      <c r="KH100" s="78">
        <f t="shared" si="465"/>
        <v>0</v>
      </c>
      <c r="KI100" s="592" t="str">
        <f t="shared" si="466"/>
        <v xml:space="preserve"> </v>
      </c>
      <c r="KJ100" s="280">
        <f t="shared" si="545"/>
        <v>0</v>
      </c>
      <c r="KK100" s="280">
        <f t="shared" si="546"/>
        <v>0</v>
      </c>
      <c r="KL100" s="280">
        <f t="shared" si="547"/>
        <v>0</v>
      </c>
      <c r="KM100" s="78">
        <f t="shared" si="467"/>
        <v>0</v>
      </c>
      <c r="KN100" s="458">
        <f t="shared" si="468"/>
        <v>0</v>
      </c>
      <c r="KP100" s="468" t="s">
        <v>859</v>
      </c>
      <c r="KQ100" s="78"/>
      <c r="KR100" s="78"/>
      <c r="KS100" s="78"/>
      <c r="KT100" s="78"/>
      <c r="KU100" s="469" t="e">
        <f>CONCATENATE(KP100," ",KC99," to ",KC98)</f>
        <v>#N/A</v>
      </c>
    </row>
    <row r="101" spans="1:327" ht="15" hidden="1" customHeight="1" x14ac:dyDescent="0.25">
      <c r="L101" s="1246" t="s">
        <v>1131</v>
      </c>
      <c r="N101" s="81" t="e">
        <f>O99/P99</f>
        <v>#VALUE!</v>
      </c>
      <c r="P101" s="1076">
        <f>(P100/R98)*100</f>
        <v>0</v>
      </c>
      <c r="S101" s="81"/>
      <c r="T101" s="78"/>
      <c r="U101" s="1121"/>
      <c r="V101" s="444"/>
      <c r="W101" s="444"/>
      <c r="X101" s="1121"/>
      <c r="Y101" s="1121"/>
      <c r="Z101" s="8">
        <f>SUM(Z55:Z97)</f>
        <v>122</v>
      </c>
      <c r="AA101" s="450"/>
      <c r="AB101" s="450"/>
      <c r="AC101" s="450"/>
      <c r="AD101" s="450"/>
      <c r="AE101" s="450"/>
      <c r="AF101" s="450"/>
      <c r="AG101" s="450"/>
      <c r="AH101" s="450"/>
      <c r="AI101" s="450"/>
      <c r="AJ101" s="450"/>
      <c r="AK101" s="450"/>
      <c r="AL101" s="450"/>
      <c r="AM101" s="450"/>
      <c r="AN101" s="450"/>
      <c r="AO101" s="450"/>
      <c r="AP101" s="450"/>
      <c r="AQ101" s="450"/>
      <c r="AR101" s="450"/>
      <c r="AS101" s="450"/>
      <c r="AT101" s="450"/>
      <c r="AU101" s="450"/>
      <c r="AV101" s="450"/>
      <c r="AW101" s="657"/>
      <c r="AX101" s="450"/>
      <c r="AY101" s="450"/>
      <c r="AZ101" s="450"/>
      <c r="BA101" s="450"/>
      <c r="BB101" s="450"/>
      <c r="BC101" s="450"/>
      <c r="BD101" s="450"/>
      <c r="BE101" s="450"/>
      <c r="BF101" s="1237"/>
      <c r="BG101" s="450"/>
      <c r="BH101" s="450"/>
      <c r="BI101" s="450"/>
      <c r="BJ101" s="450"/>
      <c r="BK101" s="450"/>
      <c r="BL101" s="450"/>
      <c r="BM101" s="450"/>
      <c r="BN101" s="450"/>
      <c r="BO101" s="450"/>
      <c r="CA101" s="664">
        <f>IF($BP$54=6,CE98,0)</f>
        <v>0</v>
      </c>
      <c r="IJ101" s="431" t="str">
        <f t="shared" si="414"/>
        <v>Bath Spa</v>
      </c>
      <c r="IK101" s="701" t="str">
        <f t="shared" si="415"/>
        <v xml:space="preserve"> </v>
      </c>
      <c r="IM101" s="431" t="s">
        <v>328</v>
      </c>
      <c r="IN101" s="196" t="str">
        <f t="shared" si="416"/>
        <v xml:space="preserve"> </v>
      </c>
      <c r="IQ101" s="78">
        <f t="shared" si="469"/>
        <v>26</v>
      </c>
      <c r="IR101" s="439" t="str">
        <f t="shared" si="473"/>
        <v xml:space="preserve"> </v>
      </c>
      <c r="IS101" s="280">
        <f t="shared" si="510"/>
        <v>0</v>
      </c>
      <c r="IT101" s="280">
        <f t="shared" si="511"/>
        <v>0</v>
      </c>
      <c r="IU101" s="280">
        <f t="shared" si="512"/>
        <v>0</v>
      </c>
      <c r="IV101" s="280">
        <f t="shared" si="513"/>
        <v>0</v>
      </c>
      <c r="IW101" s="280">
        <f t="shared" si="514"/>
        <v>0</v>
      </c>
      <c r="IX101" s="280">
        <f t="shared" si="515"/>
        <v>0</v>
      </c>
      <c r="IY101" s="280">
        <f t="shared" si="516"/>
        <v>0</v>
      </c>
      <c r="IZ101" s="280">
        <f t="shared" si="517"/>
        <v>0</v>
      </c>
      <c r="JA101" s="280">
        <f t="shared" si="518"/>
        <v>0</v>
      </c>
      <c r="JB101" s="280">
        <f t="shared" si="519"/>
        <v>0</v>
      </c>
      <c r="JC101" s="280">
        <f t="shared" si="520"/>
        <v>0</v>
      </c>
      <c r="JD101" s="280">
        <f t="shared" si="521"/>
        <v>0</v>
      </c>
      <c r="JE101" s="280">
        <f t="shared" si="522"/>
        <v>0</v>
      </c>
      <c r="JF101" s="280">
        <f t="shared" si="523"/>
        <v>0</v>
      </c>
      <c r="JG101" s="280">
        <f t="shared" si="524"/>
        <v>0</v>
      </c>
      <c r="JH101" s="280">
        <f t="shared" si="525"/>
        <v>0</v>
      </c>
      <c r="JI101" s="280">
        <f t="shared" si="526"/>
        <v>0</v>
      </c>
      <c r="JJ101" s="280">
        <f t="shared" si="527"/>
        <v>0</v>
      </c>
      <c r="JK101" s="280">
        <f t="shared" si="528"/>
        <v>0</v>
      </c>
      <c r="JL101" s="280">
        <f t="shared" si="529"/>
        <v>0</v>
      </c>
      <c r="JM101" s="280">
        <f t="shared" si="530"/>
        <v>0</v>
      </c>
      <c r="JN101" s="280">
        <f t="shared" si="531"/>
        <v>0</v>
      </c>
      <c r="JO101" s="280">
        <f t="shared" si="532"/>
        <v>0</v>
      </c>
      <c r="JP101" s="280">
        <f t="shared" si="533"/>
        <v>0</v>
      </c>
      <c r="JQ101" s="280">
        <f t="shared" si="534"/>
        <v>0</v>
      </c>
      <c r="JR101" s="280">
        <f t="shared" si="535"/>
        <v>0</v>
      </c>
      <c r="JS101" s="44">
        <f t="shared" si="461"/>
        <v>0</v>
      </c>
      <c r="JT101" s="343" t="e">
        <f t="shared" si="462"/>
        <v>#N/A</v>
      </c>
      <c r="JU101" s="431" t="s">
        <v>328</v>
      </c>
      <c r="JV101" s="280">
        <f t="shared" si="536"/>
        <v>0</v>
      </c>
      <c r="JW101" s="280">
        <f t="shared" si="537"/>
        <v>0</v>
      </c>
      <c r="JX101" s="280">
        <f t="shared" si="538"/>
        <v>0</v>
      </c>
      <c r="JY101" s="280">
        <f t="shared" si="539"/>
        <v>0</v>
      </c>
      <c r="JZ101" s="280">
        <f t="shared" si="540"/>
        <v>0</v>
      </c>
      <c r="KA101" s="280">
        <f t="shared" si="541"/>
        <v>0</v>
      </c>
      <c r="KB101" s="44">
        <f t="shared" si="463"/>
        <v>0</v>
      </c>
      <c r="KC101" s="343" t="e">
        <f t="shared" si="464"/>
        <v>#N/A</v>
      </c>
      <c r="KE101" s="280">
        <f t="shared" si="542"/>
        <v>0</v>
      </c>
      <c r="KF101" s="280">
        <f t="shared" si="543"/>
        <v>0</v>
      </c>
      <c r="KG101" s="280">
        <f t="shared" si="544"/>
        <v>0</v>
      </c>
      <c r="KH101" s="78">
        <f t="shared" si="465"/>
        <v>0</v>
      </c>
      <c r="KI101" s="592" t="str">
        <f t="shared" si="466"/>
        <v xml:space="preserve"> </v>
      </c>
      <c r="KJ101" s="280">
        <f t="shared" si="545"/>
        <v>0</v>
      </c>
      <c r="KK101" s="280">
        <f t="shared" si="546"/>
        <v>0</v>
      </c>
      <c r="KL101" s="280">
        <f t="shared" si="547"/>
        <v>0</v>
      </c>
      <c r="KM101" s="78">
        <f t="shared" si="467"/>
        <v>0</v>
      </c>
      <c r="KN101" s="458">
        <f t="shared" si="468"/>
        <v>0</v>
      </c>
      <c r="KP101" s="468" t="s">
        <v>860</v>
      </c>
      <c r="KQ101" s="78"/>
      <c r="KR101" s="78"/>
      <c r="KS101" s="78"/>
      <c r="KT101" s="78"/>
      <c r="KU101" s="469" t="e">
        <f>CONCATENATE(KP101," ",KC99)</f>
        <v>#N/A</v>
      </c>
    </row>
    <row r="102" spans="1:327" ht="15" hidden="1" customHeight="1" x14ac:dyDescent="0.25">
      <c r="L102" s="1247" t="str">
        <f t="shared" ref="L102" si="549">IF($BP$54=6,L101," ")</f>
        <v xml:space="preserve"> </v>
      </c>
      <c r="S102" s="81"/>
      <c r="T102" s="78"/>
      <c r="U102" s="1121"/>
      <c r="V102" s="444"/>
      <c r="W102" s="444"/>
      <c r="X102" s="1121"/>
      <c r="Y102" s="746"/>
      <c r="Z102" s="746"/>
      <c r="AA102" s="756"/>
      <c r="AB102" s="746"/>
      <c r="AC102" s="746"/>
      <c r="AD102" s="1123"/>
      <c r="AE102" s="450"/>
      <c r="AF102" s="450"/>
      <c r="AG102" s="450"/>
      <c r="AH102" s="450"/>
      <c r="AI102" s="450"/>
      <c r="AJ102" s="450"/>
      <c r="AK102" s="450"/>
      <c r="AL102" s="450"/>
      <c r="AM102" s="450"/>
      <c r="AN102" s="450"/>
      <c r="AO102" s="450"/>
      <c r="AP102" s="450"/>
      <c r="AQ102" s="450"/>
      <c r="AR102" s="450"/>
      <c r="AS102" s="450"/>
      <c r="AT102" s="450"/>
      <c r="AU102" s="450"/>
      <c r="AV102" s="450"/>
      <c r="AW102" s="657"/>
      <c r="AX102" s="450"/>
      <c r="AY102" s="450"/>
      <c r="AZ102" s="450"/>
      <c r="BA102" s="450"/>
      <c r="BB102" s="450"/>
      <c r="BC102" s="450"/>
      <c r="BD102" s="450"/>
      <c r="BE102" s="450"/>
      <c r="BF102" s="1237"/>
      <c r="BG102" s="450"/>
      <c r="BH102" s="450"/>
      <c r="BI102" s="450"/>
      <c r="BJ102" s="450"/>
      <c r="BK102" s="450"/>
      <c r="BL102" s="450"/>
      <c r="BM102" s="450"/>
      <c r="BN102" s="450"/>
      <c r="BO102" s="450"/>
      <c r="CA102" s="664">
        <f>IF($BP$54=6,CE99,0)</f>
        <v>0</v>
      </c>
      <c r="IJ102" s="431" t="str">
        <f t="shared" si="414"/>
        <v>UWE</v>
      </c>
      <c r="IK102" s="701" t="str">
        <f t="shared" si="415"/>
        <v xml:space="preserve"> </v>
      </c>
      <c r="IM102" s="431" t="s">
        <v>357</v>
      </c>
      <c r="IN102" s="196" t="str">
        <f t="shared" si="416"/>
        <v xml:space="preserve"> </v>
      </c>
      <c r="IQ102" s="78">
        <f t="shared" si="469"/>
        <v>27</v>
      </c>
      <c r="IR102" s="439" t="str">
        <f t="shared" ref="IR102:IR114" si="550">AI82</f>
        <v xml:space="preserve"> </v>
      </c>
      <c r="IS102" s="280">
        <f t="shared" si="510"/>
        <v>0</v>
      </c>
      <c r="IT102" s="280">
        <f t="shared" si="511"/>
        <v>0</v>
      </c>
      <c r="IU102" s="280">
        <f t="shared" si="512"/>
        <v>0</v>
      </c>
      <c r="IV102" s="280">
        <f t="shared" si="513"/>
        <v>0</v>
      </c>
      <c r="IW102" s="280">
        <f t="shared" si="514"/>
        <v>0</v>
      </c>
      <c r="IX102" s="280">
        <f t="shared" si="515"/>
        <v>0</v>
      </c>
      <c r="IY102" s="280">
        <f t="shared" si="516"/>
        <v>0</v>
      </c>
      <c r="IZ102" s="280">
        <f t="shared" si="517"/>
        <v>0</v>
      </c>
      <c r="JA102" s="280">
        <f t="shared" si="518"/>
        <v>0</v>
      </c>
      <c r="JB102" s="280">
        <f t="shared" si="519"/>
        <v>0</v>
      </c>
      <c r="JC102" s="280">
        <f t="shared" si="520"/>
        <v>0</v>
      </c>
      <c r="JD102" s="280">
        <f t="shared" si="521"/>
        <v>0</v>
      </c>
      <c r="JE102" s="280">
        <f t="shared" si="522"/>
        <v>0</v>
      </c>
      <c r="JF102" s="280">
        <f t="shared" si="523"/>
        <v>0</v>
      </c>
      <c r="JG102" s="280">
        <f t="shared" si="524"/>
        <v>0</v>
      </c>
      <c r="JH102" s="280">
        <f t="shared" si="525"/>
        <v>0</v>
      </c>
      <c r="JI102" s="280">
        <f t="shared" si="526"/>
        <v>0</v>
      </c>
      <c r="JJ102" s="280">
        <f t="shared" si="527"/>
        <v>0</v>
      </c>
      <c r="JK102" s="280">
        <f t="shared" si="528"/>
        <v>0</v>
      </c>
      <c r="JL102" s="280">
        <f t="shared" si="529"/>
        <v>0</v>
      </c>
      <c r="JM102" s="280">
        <f t="shared" si="530"/>
        <v>0</v>
      </c>
      <c r="JN102" s="280">
        <f t="shared" si="531"/>
        <v>0</v>
      </c>
      <c r="JO102" s="280">
        <f t="shared" si="532"/>
        <v>0</v>
      </c>
      <c r="JP102" s="280">
        <f t="shared" si="533"/>
        <v>0</v>
      </c>
      <c r="JQ102" s="280">
        <f t="shared" si="534"/>
        <v>0</v>
      </c>
      <c r="JR102" s="280">
        <f t="shared" si="535"/>
        <v>0</v>
      </c>
      <c r="JS102" s="44">
        <f t="shared" si="461"/>
        <v>0</v>
      </c>
      <c r="JT102" s="343" t="e">
        <f t="shared" si="462"/>
        <v>#N/A</v>
      </c>
      <c r="JU102" s="431" t="s">
        <v>357</v>
      </c>
      <c r="JV102" s="280">
        <f t="shared" si="536"/>
        <v>0</v>
      </c>
      <c r="JW102" s="280">
        <f t="shared" si="537"/>
        <v>0</v>
      </c>
      <c r="JX102" s="280">
        <f t="shared" si="538"/>
        <v>0</v>
      </c>
      <c r="JY102" s="280">
        <f t="shared" si="539"/>
        <v>0</v>
      </c>
      <c r="JZ102" s="280">
        <f t="shared" si="540"/>
        <v>0</v>
      </c>
      <c r="KA102" s="280">
        <f t="shared" si="541"/>
        <v>0</v>
      </c>
      <c r="KB102" s="44">
        <f t="shared" si="463"/>
        <v>0</v>
      </c>
      <c r="KC102" s="343" t="e">
        <f t="shared" si="464"/>
        <v>#N/A</v>
      </c>
      <c r="KE102" s="280">
        <f t="shared" si="542"/>
        <v>0</v>
      </c>
      <c r="KF102" s="280">
        <f t="shared" si="543"/>
        <v>0</v>
      </c>
      <c r="KG102" s="280">
        <f t="shared" si="544"/>
        <v>0</v>
      </c>
      <c r="KH102" s="78">
        <f t="shared" si="465"/>
        <v>0</v>
      </c>
      <c r="KI102" s="592" t="str">
        <f t="shared" si="466"/>
        <v xml:space="preserve"> </v>
      </c>
      <c r="KJ102" s="280">
        <f t="shared" si="545"/>
        <v>0</v>
      </c>
      <c r="KK102" s="280">
        <f t="shared" si="546"/>
        <v>0</v>
      </c>
      <c r="KL102" s="280">
        <f t="shared" si="547"/>
        <v>0</v>
      </c>
      <c r="KM102" s="78">
        <f t="shared" si="467"/>
        <v>0</v>
      </c>
      <c r="KN102" s="458">
        <f t="shared" si="468"/>
        <v>0</v>
      </c>
      <c r="KP102" s="78"/>
      <c r="KQ102" s="78"/>
      <c r="KR102" s="78"/>
      <c r="KS102" s="78"/>
      <c r="KT102" s="78"/>
      <c r="KU102" s="463" t="e">
        <f>IF(KU104=0,KU100,KU101)</f>
        <v>#N/A</v>
      </c>
    </row>
    <row r="103" spans="1:327" ht="15" hidden="1" customHeight="1" x14ac:dyDescent="0.25">
      <c r="S103" s="81"/>
      <c r="T103" s="78"/>
      <c r="U103" s="401"/>
      <c r="V103" s="444"/>
      <c r="W103" s="444"/>
      <c r="X103" s="1121"/>
      <c r="Y103" s="1121">
        <f>COUNT(Y55:Y97)</f>
        <v>41</v>
      </c>
      <c r="Z103" s="450"/>
      <c r="AA103" s="450"/>
      <c r="AB103" s="450"/>
      <c r="AC103" s="450"/>
      <c r="AD103" s="450"/>
      <c r="AE103" s="450"/>
      <c r="AF103" s="450"/>
      <c r="AG103" s="450"/>
      <c r="AH103" s="450"/>
      <c r="AI103" s="450"/>
      <c r="AJ103" s="450"/>
      <c r="AK103" s="450"/>
      <c r="AL103" s="450"/>
      <c r="AM103" s="450"/>
      <c r="AN103" s="450"/>
      <c r="AO103" s="450"/>
      <c r="AP103" s="450"/>
      <c r="AQ103" s="450"/>
      <c r="AR103" s="450"/>
      <c r="AS103" s="450"/>
      <c r="AT103" s="450"/>
      <c r="AU103" s="450"/>
      <c r="AV103" s="450"/>
      <c r="AW103" s="657"/>
      <c r="AX103" s="450"/>
      <c r="AY103" s="450"/>
      <c r="AZ103" s="450"/>
      <c r="BA103" s="450"/>
      <c r="BB103" s="450"/>
      <c r="BC103" s="450"/>
      <c r="BD103" s="450"/>
      <c r="BE103" s="450"/>
      <c r="BF103" s="1237"/>
      <c r="BG103" s="450"/>
      <c r="BH103" s="450"/>
      <c r="BI103" s="450"/>
      <c r="BJ103" s="450"/>
      <c r="BK103" s="450"/>
      <c r="BL103" s="450"/>
      <c r="BM103" s="450"/>
      <c r="BN103" s="450"/>
      <c r="BO103" s="450"/>
      <c r="IJ103" s="431" t="str">
        <f t="shared" si="414"/>
        <v>Leeds Becket</v>
      </c>
      <c r="IK103" s="701" t="str">
        <f t="shared" si="415"/>
        <v xml:space="preserve"> </v>
      </c>
      <c r="IM103" s="431" t="s">
        <v>1288</v>
      </c>
      <c r="IN103" s="196" t="str">
        <f t="shared" si="416"/>
        <v xml:space="preserve"> </v>
      </c>
      <c r="IQ103" s="78">
        <f t="shared" si="469"/>
        <v>28</v>
      </c>
      <c r="IR103" s="439" t="str">
        <f t="shared" si="550"/>
        <v xml:space="preserve"> </v>
      </c>
      <c r="IS103" s="280">
        <f t="shared" si="510"/>
        <v>0</v>
      </c>
      <c r="IT103" s="280">
        <f t="shared" si="511"/>
        <v>0</v>
      </c>
      <c r="IU103" s="280">
        <f t="shared" si="512"/>
        <v>0</v>
      </c>
      <c r="IV103" s="280">
        <f t="shared" si="513"/>
        <v>0</v>
      </c>
      <c r="IW103" s="280">
        <f t="shared" si="514"/>
        <v>0</v>
      </c>
      <c r="IX103" s="280">
        <f t="shared" si="515"/>
        <v>0</v>
      </c>
      <c r="IY103" s="280">
        <f t="shared" si="516"/>
        <v>0</v>
      </c>
      <c r="IZ103" s="280">
        <f t="shared" si="517"/>
        <v>0</v>
      </c>
      <c r="JA103" s="280">
        <f t="shared" si="518"/>
        <v>0</v>
      </c>
      <c r="JB103" s="280">
        <f t="shared" si="519"/>
        <v>0</v>
      </c>
      <c r="JC103" s="280">
        <f t="shared" si="520"/>
        <v>0</v>
      </c>
      <c r="JD103" s="280">
        <f t="shared" si="521"/>
        <v>0</v>
      </c>
      <c r="JE103" s="280">
        <f t="shared" si="522"/>
        <v>0</v>
      </c>
      <c r="JF103" s="280">
        <f t="shared" si="523"/>
        <v>0</v>
      </c>
      <c r="JG103" s="280">
        <f t="shared" si="524"/>
        <v>0</v>
      </c>
      <c r="JH103" s="280">
        <f t="shared" si="525"/>
        <v>0</v>
      </c>
      <c r="JI103" s="280">
        <f t="shared" si="526"/>
        <v>0</v>
      </c>
      <c r="JJ103" s="280">
        <f t="shared" si="527"/>
        <v>0</v>
      </c>
      <c r="JK103" s="280">
        <f t="shared" si="528"/>
        <v>0</v>
      </c>
      <c r="JL103" s="280">
        <f t="shared" si="529"/>
        <v>0</v>
      </c>
      <c r="JM103" s="280">
        <f t="shared" si="530"/>
        <v>0</v>
      </c>
      <c r="JN103" s="280">
        <f t="shared" si="531"/>
        <v>0</v>
      </c>
      <c r="JO103" s="280">
        <f t="shared" si="532"/>
        <v>0</v>
      </c>
      <c r="JP103" s="280">
        <f t="shared" si="533"/>
        <v>0</v>
      </c>
      <c r="JQ103" s="280">
        <f t="shared" si="534"/>
        <v>0</v>
      </c>
      <c r="JR103" s="280">
        <f t="shared" si="535"/>
        <v>0</v>
      </c>
      <c r="JS103" s="44">
        <f t="shared" ref="JS103" si="551">SUM(IS103:JR103)</f>
        <v>0</v>
      </c>
      <c r="JT103" s="343" t="e">
        <f t="shared" ref="JT103" si="552">HLOOKUP(JS103,$IS$32:$JR$33,2,0)</f>
        <v>#N/A</v>
      </c>
      <c r="JU103" s="431" t="s">
        <v>1288</v>
      </c>
      <c r="JV103" s="280">
        <f t="shared" si="536"/>
        <v>0</v>
      </c>
      <c r="JW103" s="280">
        <f t="shared" si="537"/>
        <v>0</v>
      </c>
      <c r="JX103" s="280">
        <f t="shared" si="538"/>
        <v>0</v>
      </c>
      <c r="JY103" s="280">
        <f t="shared" si="539"/>
        <v>0</v>
      </c>
      <c r="JZ103" s="280">
        <f t="shared" si="540"/>
        <v>0</v>
      </c>
      <c r="KA103" s="280">
        <f t="shared" si="541"/>
        <v>0</v>
      </c>
      <c r="KB103" s="44">
        <f t="shared" ref="KB103" si="553">SUM(JV103:KA103)</f>
        <v>0</v>
      </c>
      <c r="KC103" s="343" t="e">
        <f t="shared" ref="KC103" si="554">HLOOKUP(KB103,$JV$32:$KB$33,2,0)</f>
        <v>#N/A</v>
      </c>
      <c r="KE103" s="280">
        <f t="shared" si="542"/>
        <v>0</v>
      </c>
      <c r="KF103" s="280">
        <f t="shared" si="543"/>
        <v>0</v>
      </c>
      <c r="KG103" s="280">
        <f t="shared" si="544"/>
        <v>0</v>
      </c>
      <c r="KH103" s="78">
        <f t="shared" ref="KH103" si="555">IF(SUM(KE103:KG103)&gt;0,"PP",0)</f>
        <v>0</v>
      </c>
      <c r="KI103" s="592" t="str">
        <f t="shared" ref="KI103" si="556">IR103</f>
        <v xml:space="preserve"> </v>
      </c>
      <c r="KJ103" s="280">
        <f t="shared" si="545"/>
        <v>0</v>
      </c>
      <c r="KK103" s="280">
        <f t="shared" si="546"/>
        <v>0</v>
      </c>
      <c r="KL103" s="280">
        <f t="shared" si="547"/>
        <v>0</v>
      </c>
      <c r="KM103" s="78">
        <f t="shared" ref="KM103" si="557">IF(SUM(KJ103:KL103)&gt;0,"P",0)</f>
        <v>0</v>
      </c>
      <c r="KN103" s="458">
        <f t="shared" ref="KN103" si="558">KM103</f>
        <v>0</v>
      </c>
      <c r="KP103" s="78"/>
      <c r="KQ103" s="78"/>
      <c r="KR103" s="78"/>
      <c r="KS103" s="78"/>
      <c r="KT103" s="78"/>
      <c r="KU103" s="463"/>
      <c r="KV103" s="544"/>
      <c r="KW103" s="544"/>
      <c r="KX103" s="544"/>
      <c r="KY103" s="544"/>
      <c r="KZ103" s="544"/>
      <c r="LA103" s="544"/>
      <c r="LB103" s="544"/>
      <c r="LC103" s="544"/>
      <c r="LD103" s="544"/>
      <c r="LE103" s="544"/>
      <c r="LF103" s="544"/>
      <c r="LG103" s="544"/>
      <c r="LH103" s="544"/>
      <c r="LI103" s="544"/>
      <c r="LJ103" s="544"/>
      <c r="LK103" s="544"/>
      <c r="LL103" s="544"/>
      <c r="LM103" s="544"/>
      <c r="LN103" s="544"/>
      <c r="LO103" s="544"/>
    </row>
    <row r="104" spans="1:327" ht="15" hidden="1" customHeight="1" x14ac:dyDescent="0.25">
      <c r="S104" s="81"/>
      <c r="T104" s="78"/>
      <c r="U104" s="218"/>
      <c r="V104" s="444"/>
      <c r="W104" s="444"/>
      <c r="X104" s="218"/>
      <c r="Y104" s="218"/>
      <c r="Z104" s="450"/>
      <c r="AA104" s="450"/>
      <c r="AB104" s="450"/>
      <c r="AC104" s="450"/>
      <c r="AD104" s="450"/>
      <c r="AE104" s="450"/>
      <c r="AF104" s="450"/>
      <c r="AG104" s="450"/>
      <c r="AH104" s="450"/>
      <c r="AI104" s="450"/>
      <c r="AJ104" s="450"/>
      <c r="AK104" s="450"/>
      <c r="AL104" s="450"/>
      <c r="AM104" s="450"/>
      <c r="AN104" s="450"/>
      <c r="AO104" s="450"/>
      <c r="AP104" s="450"/>
      <c r="AQ104" s="450"/>
      <c r="AR104" s="450"/>
      <c r="AS104" s="450"/>
      <c r="AT104" s="450"/>
      <c r="AU104" s="450"/>
      <c r="AV104" s="450"/>
      <c r="AW104" s="657"/>
      <c r="AX104" s="450"/>
      <c r="AY104" s="450"/>
      <c r="AZ104" s="450"/>
      <c r="BA104" s="450"/>
      <c r="BB104" s="450"/>
      <c r="BC104" s="450"/>
      <c r="BD104" s="450"/>
      <c r="BE104" s="450"/>
      <c r="BF104" s="1237"/>
      <c r="BG104" s="450"/>
      <c r="BH104" s="450"/>
      <c r="BI104" s="450"/>
      <c r="BJ104" s="450"/>
      <c r="BK104" s="450"/>
      <c r="BL104" s="450"/>
      <c r="BM104" s="450"/>
      <c r="BN104" s="450"/>
      <c r="BO104" s="450"/>
      <c r="CA104" s="468" t="s">
        <v>1287</v>
      </c>
      <c r="IJ104" s="431" t="str">
        <f t="shared" ref="IJ104:IJ116" si="559">BN84</f>
        <v>Bradford</v>
      </c>
      <c r="IK104" s="701" t="str">
        <f t="shared" ref="IK104:IK116" si="560">BP84</f>
        <v xml:space="preserve"> </v>
      </c>
      <c r="IM104" s="431" t="s">
        <v>359</v>
      </c>
      <c r="IN104" s="196" t="str">
        <f t="shared" si="416"/>
        <v xml:space="preserve"> </v>
      </c>
      <c r="IQ104" s="78">
        <f t="shared" si="469"/>
        <v>29</v>
      </c>
      <c r="IR104" s="439" t="str">
        <f t="shared" si="550"/>
        <v xml:space="preserve"> </v>
      </c>
      <c r="IS104" s="280">
        <f t="shared" si="510"/>
        <v>0</v>
      </c>
      <c r="IT104" s="280">
        <f t="shared" si="511"/>
        <v>0</v>
      </c>
      <c r="IU104" s="280">
        <f t="shared" si="512"/>
        <v>0</v>
      </c>
      <c r="IV104" s="280">
        <f t="shared" si="513"/>
        <v>0</v>
      </c>
      <c r="IW104" s="280">
        <f t="shared" si="514"/>
        <v>0</v>
      </c>
      <c r="IX104" s="280">
        <f t="shared" si="515"/>
        <v>0</v>
      </c>
      <c r="IY104" s="280">
        <f t="shared" si="516"/>
        <v>0</v>
      </c>
      <c r="IZ104" s="280">
        <f t="shared" si="517"/>
        <v>0</v>
      </c>
      <c r="JA104" s="280">
        <f t="shared" si="518"/>
        <v>0</v>
      </c>
      <c r="JB104" s="280">
        <f t="shared" si="519"/>
        <v>0</v>
      </c>
      <c r="JC104" s="280">
        <f t="shared" si="520"/>
        <v>0</v>
      </c>
      <c r="JD104" s="280">
        <f t="shared" si="521"/>
        <v>0</v>
      </c>
      <c r="JE104" s="280">
        <f t="shared" si="522"/>
        <v>0</v>
      </c>
      <c r="JF104" s="280">
        <f t="shared" si="523"/>
        <v>0</v>
      </c>
      <c r="JG104" s="280">
        <f t="shared" si="524"/>
        <v>0</v>
      </c>
      <c r="JH104" s="280">
        <f t="shared" si="525"/>
        <v>0</v>
      </c>
      <c r="JI104" s="280">
        <f t="shared" si="526"/>
        <v>0</v>
      </c>
      <c r="JJ104" s="280">
        <f t="shared" si="527"/>
        <v>0</v>
      </c>
      <c r="JK104" s="280">
        <f t="shared" si="528"/>
        <v>0</v>
      </c>
      <c r="JL104" s="280">
        <f t="shared" si="529"/>
        <v>0</v>
      </c>
      <c r="JM104" s="280">
        <f t="shared" si="530"/>
        <v>0</v>
      </c>
      <c r="JN104" s="280">
        <f t="shared" si="531"/>
        <v>0</v>
      </c>
      <c r="JO104" s="280">
        <f t="shared" si="532"/>
        <v>0</v>
      </c>
      <c r="JP104" s="280">
        <f t="shared" si="533"/>
        <v>0</v>
      </c>
      <c r="JQ104" s="280">
        <f t="shared" si="534"/>
        <v>0</v>
      </c>
      <c r="JR104" s="280">
        <f t="shared" si="535"/>
        <v>0</v>
      </c>
      <c r="JS104" s="44">
        <f t="shared" si="461"/>
        <v>0</v>
      </c>
      <c r="JT104" s="343" t="e">
        <f t="shared" si="462"/>
        <v>#N/A</v>
      </c>
      <c r="JU104" s="431" t="s">
        <v>359</v>
      </c>
      <c r="JV104" s="280">
        <f t="shared" si="536"/>
        <v>0</v>
      </c>
      <c r="JW104" s="280">
        <f t="shared" si="537"/>
        <v>0</v>
      </c>
      <c r="JX104" s="280">
        <f t="shared" si="538"/>
        <v>0</v>
      </c>
      <c r="JY104" s="280">
        <f t="shared" si="539"/>
        <v>0</v>
      </c>
      <c r="JZ104" s="280">
        <f t="shared" si="540"/>
        <v>0</v>
      </c>
      <c r="KA104" s="280">
        <f t="shared" si="541"/>
        <v>0</v>
      </c>
      <c r="KB104" s="44">
        <f t="shared" si="463"/>
        <v>0</v>
      </c>
      <c r="KC104" s="343" t="e">
        <f t="shared" si="464"/>
        <v>#N/A</v>
      </c>
      <c r="KE104" s="280">
        <f t="shared" si="542"/>
        <v>0</v>
      </c>
      <c r="KF104" s="280">
        <f t="shared" si="543"/>
        <v>0</v>
      </c>
      <c r="KG104" s="280">
        <f t="shared" si="544"/>
        <v>0</v>
      </c>
      <c r="KH104" s="78">
        <f t="shared" si="465"/>
        <v>0</v>
      </c>
      <c r="KI104" s="592" t="str">
        <f t="shared" si="466"/>
        <v xml:space="preserve"> </v>
      </c>
      <c r="KJ104" s="280">
        <f t="shared" si="545"/>
        <v>0</v>
      </c>
      <c r="KK104" s="280">
        <f t="shared" si="546"/>
        <v>0</v>
      </c>
      <c r="KL104" s="280">
        <f t="shared" si="547"/>
        <v>0</v>
      </c>
      <c r="KM104" s="78">
        <f t="shared" si="467"/>
        <v>0</v>
      </c>
      <c r="KN104" s="458">
        <f t="shared" si="468"/>
        <v>0</v>
      </c>
      <c r="KU104" s="470" t="e">
        <f>IF(KC99=KC98,1,)</f>
        <v>#N/A</v>
      </c>
    </row>
    <row r="105" spans="1:327" ht="15" hidden="1" customHeight="1" x14ac:dyDescent="0.25">
      <c r="S105" s="81"/>
      <c r="T105" s="78"/>
      <c r="U105" s="218"/>
      <c r="V105" s="444"/>
      <c r="W105" s="444"/>
      <c r="X105" s="218"/>
      <c r="Y105" s="218"/>
      <c r="Z105" s="450"/>
      <c r="AA105" s="450"/>
      <c r="AB105" s="450"/>
      <c r="AC105" s="450"/>
      <c r="AD105" s="450"/>
      <c r="AE105" s="450"/>
      <c r="AF105" s="450"/>
      <c r="AG105" s="450"/>
      <c r="AH105" s="450"/>
      <c r="AI105" s="450"/>
      <c r="AJ105" s="450"/>
      <c r="AK105" s="450"/>
      <c r="AL105" s="450"/>
      <c r="AM105" s="450"/>
      <c r="AN105" s="450"/>
      <c r="AO105" s="450"/>
      <c r="AP105" s="450"/>
      <c r="AQ105" s="450"/>
      <c r="AR105" s="450"/>
      <c r="AS105" s="450"/>
      <c r="AT105" s="450"/>
      <c r="AU105" s="450"/>
      <c r="AV105" s="450"/>
      <c r="AW105" s="657"/>
      <c r="AX105" s="450"/>
      <c r="AY105" s="450"/>
      <c r="AZ105" s="450"/>
      <c r="BA105" s="450"/>
      <c r="BB105" s="450"/>
      <c r="BC105" s="450"/>
      <c r="BD105" s="450"/>
      <c r="BE105" s="450"/>
      <c r="BF105" s="1237"/>
      <c r="BG105" s="450"/>
      <c r="BH105" s="450"/>
      <c r="BI105" s="450"/>
      <c r="BJ105" s="450"/>
      <c r="BK105" s="450"/>
      <c r="BL105" s="450"/>
      <c r="BM105" s="450"/>
      <c r="BN105" s="450"/>
      <c r="BO105" s="450"/>
      <c r="IJ105" s="431" t="str">
        <f t="shared" si="559"/>
        <v>Anglia Ruskin</v>
      </c>
      <c r="IK105" s="701" t="str">
        <f t="shared" si="560"/>
        <v xml:space="preserve"> </v>
      </c>
      <c r="IM105" s="431" t="s">
        <v>368</v>
      </c>
      <c r="IN105" s="196" t="str">
        <f t="shared" si="416"/>
        <v xml:space="preserve"> </v>
      </c>
      <c r="IQ105" s="78">
        <f t="shared" si="469"/>
        <v>30</v>
      </c>
      <c r="IR105" s="439" t="str">
        <f t="shared" si="550"/>
        <v xml:space="preserve"> </v>
      </c>
      <c r="IS105" s="280">
        <f t="shared" si="510"/>
        <v>0</v>
      </c>
      <c r="IT105" s="280">
        <f t="shared" si="511"/>
        <v>0</v>
      </c>
      <c r="IU105" s="280">
        <f t="shared" si="512"/>
        <v>0</v>
      </c>
      <c r="IV105" s="280">
        <f t="shared" si="513"/>
        <v>0</v>
      </c>
      <c r="IW105" s="280">
        <f t="shared" si="514"/>
        <v>0</v>
      </c>
      <c r="IX105" s="280">
        <f t="shared" si="515"/>
        <v>0</v>
      </c>
      <c r="IY105" s="280">
        <f t="shared" si="516"/>
        <v>0</v>
      </c>
      <c r="IZ105" s="280">
        <f t="shared" si="517"/>
        <v>0</v>
      </c>
      <c r="JA105" s="280">
        <f t="shared" si="518"/>
        <v>0</v>
      </c>
      <c r="JB105" s="280">
        <f t="shared" si="519"/>
        <v>0</v>
      </c>
      <c r="JC105" s="280">
        <f t="shared" si="520"/>
        <v>0</v>
      </c>
      <c r="JD105" s="280">
        <f t="shared" si="521"/>
        <v>0</v>
      </c>
      <c r="JE105" s="280">
        <f t="shared" si="522"/>
        <v>0</v>
      </c>
      <c r="JF105" s="280">
        <f t="shared" si="523"/>
        <v>0</v>
      </c>
      <c r="JG105" s="280">
        <f t="shared" si="524"/>
        <v>0</v>
      </c>
      <c r="JH105" s="280">
        <f t="shared" si="525"/>
        <v>0</v>
      </c>
      <c r="JI105" s="280">
        <f t="shared" si="526"/>
        <v>0</v>
      </c>
      <c r="JJ105" s="280">
        <f t="shared" si="527"/>
        <v>0</v>
      </c>
      <c r="JK105" s="280">
        <f t="shared" si="528"/>
        <v>0</v>
      </c>
      <c r="JL105" s="280">
        <f t="shared" si="529"/>
        <v>0</v>
      </c>
      <c r="JM105" s="280">
        <f t="shared" si="530"/>
        <v>0</v>
      </c>
      <c r="JN105" s="280">
        <f t="shared" si="531"/>
        <v>0</v>
      </c>
      <c r="JO105" s="280">
        <f t="shared" si="532"/>
        <v>0</v>
      </c>
      <c r="JP105" s="280">
        <f t="shared" si="533"/>
        <v>0</v>
      </c>
      <c r="JQ105" s="280">
        <f t="shared" si="534"/>
        <v>0</v>
      </c>
      <c r="JR105" s="280">
        <f t="shared" si="535"/>
        <v>0</v>
      </c>
      <c r="JS105" s="44">
        <f t="shared" si="461"/>
        <v>0</v>
      </c>
      <c r="JT105" s="343" t="e">
        <f t="shared" si="462"/>
        <v>#N/A</v>
      </c>
      <c r="JU105" s="431" t="s">
        <v>368</v>
      </c>
      <c r="JV105" s="280">
        <f t="shared" si="536"/>
        <v>0</v>
      </c>
      <c r="JW105" s="280">
        <f t="shared" si="537"/>
        <v>0</v>
      </c>
      <c r="JX105" s="280">
        <f t="shared" si="538"/>
        <v>0</v>
      </c>
      <c r="JY105" s="280">
        <f t="shared" si="539"/>
        <v>0</v>
      </c>
      <c r="JZ105" s="280">
        <f t="shared" si="540"/>
        <v>0</v>
      </c>
      <c r="KA105" s="280">
        <f t="shared" si="541"/>
        <v>0</v>
      </c>
      <c r="KB105" s="44">
        <f t="shared" si="463"/>
        <v>0</v>
      </c>
      <c r="KC105" s="343" t="e">
        <f t="shared" si="464"/>
        <v>#N/A</v>
      </c>
      <c r="KE105" s="280">
        <f t="shared" si="542"/>
        <v>0</v>
      </c>
      <c r="KF105" s="280">
        <f t="shared" si="543"/>
        <v>0</v>
      </c>
      <c r="KG105" s="280">
        <f t="shared" si="544"/>
        <v>0</v>
      </c>
      <c r="KH105" s="78">
        <f t="shared" si="465"/>
        <v>0</v>
      </c>
      <c r="KI105" s="592" t="str">
        <f t="shared" si="466"/>
        <v xml:space="preserve"> </v>
      </c>
      <c r="KJ105" s="280">
        <f t="shared" si="545"/>
        <v>0</v>
      </c>
      <c r="KK105" s="280">
        <f t="shared" si="546"/>
        <v>0</v>
      </c>
      <c r="KL105" s="280">
        <f t="shared" si="547"/>
        <v>0</v>
      </c>
      <c r="KM105" s="78">
        <f t="shared" si="467"/>
        <v>0</v>
      </c>
      <c r="KN105" s="458">
        <f t="shared" si="468"/>
        <v>0</v>
      </c>
    </row>
    <row r="106" spans="1:327" ht="15" hidden="1" customHeight="1" x14ac:dyDescent="0.25">
      <c r="S106" s="81"/>
      <c r="T106" s="78"/>
      <c r="U106" s="450"/>
      <c r="V106" s="450"/>
      <c r="W106" s="450"/>
      <c r="X106" s="450"/>
      <c r="Y106" s="450"/>
      <c r="Z106" s="450"/>
      <c r="AA106" s="450"/>
      <c r="AB106" s="450"/>
      <c r="AC106" s="450"/>
      <c r="AD106" s="450"/>
      <c r="AE106" s="450"/>
      <c r="AF106" s="450"/>
      <c r="AG106" s="450"/>
      <c r="AH106" s="450"/>
      <c r="AI106" s="450"/>
      <c r="AJ106" s="450"/>
      <c r="AK106" s="450"/>
      <c r="AL106" s="450"/>
      <c r="AM106" s="450"/>
      <c r="AN106" s="450"/>
      <c r="AO106" s="450"/>
      <c r="AP106" s="450"/>
      <c r="AQ106" s="450"/>
      <c r="AR106" s="450"/>
      <c r="AS106" s="450"/>
      <c r="AT106" s="450"/>
      <c r="AU106" s="450"/>
      <c r="AV106" s="450"/>
      <c r="AW106" s="657"/>
      <c r="AX106" s="450"/>
      <c r="AY106" s="450"/>
      <c r="AZ106" s="450"/>
      <c r="BA106" s="450"/>
      <c r="BB106" s="450"/>
      <c r="BC106" s="450"/>
      <c r="BD106" s="450"/>
      <c r="BE106" s="450"/>
      <c r="BF106" s="1237"/>
      <c r="BG106" s="450"/>
      <c r="BH106" s="450"/>
      <c r="BI106" s="450"/>
      <c r="BJ106" s="450"/>
      <c r="BK106" s="450"/>
      <c r="BL106" s="450"/>
      <c r="BM106" s="450"/>
      <c r="BN106" s="450"/>
      <c r="BO106" s="450"/>
      <c r="IJ106" s="431" t="str">
        <f t="shared" si="559"/>
        <v>Edinburgh Napier</v>
      </c>
      <c r="IK106" s="701" t="str">
        <f t="shared" si="560"/>
        <v xml:space="preserve"> </v>
      </c>
      <c r="IM106" s="431" t="s">
        <v>371</v>
      </c>
      <c r="IN106" s="196" t="str">
        <f t="shared" si="416"/>
        <v xml:space="preserve"> </v>
      </c>
      <c r="IQ106" s="78">
        <f t="shared" si="469"/>
        <v>31</v>
      </c>
      <c r="IR106" s="439" t="str">
        <f t="shared" si="550"/>
        <v xml:space="preserve"> </v>
      </c>
      <c r="IS106" s="280">
        <f t="shared" si="510"/>
        <v>0</v>
      </c>
      <c r="IT106" s="280">
        <f t="shared" si="511"/>
        <v>0</v>
      </c>
      <c r="IU106" s="280">
        <f t="shared" si="512"/>
        <v>0</v>
      </c>
      <c r="IV106" s="280">
        <f t="shared" si="513"/>
        <v>0</v>
      </c>
      <c r="IW106" s="280">
        <f t="shared" si="514"/>
        <v>0</v>
      </c>
      <c r="IX106" s="280">
        <f t="shared" si="515"/>
        <v>0</v>
      </c>
      <c r="IY106" s="280">
        <f t="shared" si="516"/>
        <v>0</v>
      </c>
      <c r="IZ106" s="280">
        <f t="shared" si="517"/>
        <v>0</v>
      </c>
      <c r="JA106" s="280">
        <f t="shared" si="518"/>
        <v>0</v>
      </c>
      <c r="JB106" s="280">
        <f t="shared" si="519"/>
        <v>0</v>
      </c>
      <c r="JC106" s="280">
        <f t="shared" si="520"/>
        <v>0</v>
      </c>
      <c r="JD106" s="280">
        <f t="shared" si="521"/>
        <v>0</v>
      </c>
      <c r="JE106" s="280">
        <f t="shared" si="522"/>
        <v>0</v>
      </c>
      <c r="JF106" s="280">
        <f t="shared" si="523"/>
        <v>0</v>
      </c>
      <c r="JG106" s="280">
        <f t="shared" si="524"/>
        <v>0</v>
      </c>
      <c r="JH106" s="280">
        <f t="shared" si="525"/>
        <v>0</v>
      </c>
      <c r="JI106" s="280">
        <f t="shared" si="526"/>
        <v>0</v>
      </c>
      <c r="JJ106" s="280">
        <f t="shared" si="527"/>
        <v>0</v>
      </c>
      <c r="JK106" s="280">
        <f t="shared" si="528"/>
        <v>0</v>
      </c>
      <c r="JL106" s="280">
        <f t="shared" si="529"/>
        <v>0</v>
      </c>
      <c r="JM106" s="280">
        <f t="shared" si="530"/>
        <v>0</v>
      </c>
      <c r="JN106" s="280">
        <f t="shared" si="531"/>
        <v>0</v>
      </c>
      <c r="JO106" s="280">
        <f t="shared" si="532"/>
        <v>0</v>
      </c>
      <c r="JP106" s="280">
        <f t="shared" si="533"/>
        <v>0</v>
      </c>
      <c r="JQ106" s="280">
        <f t="shared" si="534"/>
        <v>0</v>
      </c>
      <c r="JR106" s="280">
        <f t="shared" si="535"/>
        <v>0</v>
      </c>
      <c r="JS106" s="44">
        <f t="shared" si="461"/>
        <v>0</v>
      </c>
      <c r="JT106" s="343" t="e">
        <f t="shared" si="462"/>
        <v>#N/A</v>
      </c>
      <c r="JU106" s="431" t="s">
        <v>371</v>
      </c>
      <c r="JV106" s="280">
        <f t="shared" si="536"/>
        <v>0</v>
      </c>
      <c r="JW106" s="280">
        <f t="shared" si="537"/>
        <v>0</v>
      </c>
      <c r="JX106" s="280">
        <f t="shared" si="538"/>
        <v>0</v>
      </c>
      <c r="JY106" s="280">
        <f t="shared" si="539"/>
        <v>0</v>
      </c>
      <c r="JZ106" s="280">
        <f t="shared" si="540"/>
        <v>0</v>
      </c>
      <c r="KA106" s="280">
        <f t="shared" si="541"/>
        <v>0</v>
      </c>
      <c r="KB106" s="44">
        <f t="shared" si="463"/>
        <v>0</v>
      </c>
      <c r="KC106" s="343" t="e">
        <f t="shared" si="464"/>
        <v>#N/A</v>
      </c>
      <c r="KE106" s="280">
        <f t="shared" si="542"/>
        <v>0</v>
      </c>
      <c r="KF106" s="280">
        <f t="shared" si="543"/>
        <v>0</v>
      </c>
      <c r="KG106" s="280">
        <f t="shared" si="544"/>
        <v>0</v>
      </c>
      <c r="KH106" s="78">
        <f t="shared" si="465"/>
        <v>0</v>
      </c>
      <c r="KI106" s="592" t="str">
        <f t="shared" si="466"/>
        <v xml:space="preserve"> </v>
      </c>
      <c r="KJ106" s="280">
        <f t="shared" si="545"/>
        <v>0</v>
      </c>
      <c r="KK106" s="280">
        <f t="shared" si="546"/>
        <v>0</v>
      </c>
      <c r="KL106" s="280">
        <f t="shared" si="547"/>
        <v>0</v>
      </c>
      <c r="KM106" s="78">
        <f t="shared" si="467"/>
        <v>0</v>
      </c>
      <c r="KN106" s="458">
        <f t="shared" si="468"/>
        <v>0</v>
      </c>
    </row>
    <row r="107" spans="1:327" ht="15" hidden="1" customHeight="1" x14ac:dyDescent="0.25">
      <c r="S107" s="81"/>
      <c r="T107" s="78"/>
      <c r="U107" s="450"/>
      <c r="V107" s="450"/>
      <c r="W107" s="450"/>
      <c r="X107" s="450"/>
      <c r="Y107" s="450"/>
      <c r="Z107" s="450"/>
      <c r="AA107" s="450"/>
      <c r="AB107" s="450"/>
      <c r="AC107" s="450"/>
      <c r="AD107" s="450"/>
      <c r="AE107" s="450"/>
      <c r="AF107" s="450"/>
      <c r="AG107" s="450"/>
      <c r="AH107" s="450"/>
      <c r="AI107" s="450"/>
      <c r="AJ107" s="450"/>
      <c r="AK107" s="450"/>
      <c r="AL107" s="450"/>
      <c r="AM107" s="450"/>
      <c r="AN107" s="450"/>
      <c r="AO107" s="450"/>
      <c r="AP107" s="450"/>
      <c r="AQ107" s="450"/>
      <c r="AR107" s="450"/>
      <c r="AS107" s="450"/>
      <c r="AT107" s="450"/>
      <c r="AU107" s="450"/>
      <c r="AV107" s="450"/>
      <c r="AW107" s="657"/>
      <c r="AX107" s="450"/>
      <c r="AY107" s="450"/>
      <c r="AZ107" s="450"/>
      <c r="BA107" s="450"/>
      <c r="BB107" s="450"/>
      <c r="BC107" s="450"/>
      <c r="BD107" s="450"/>
      <c r="BE107" s="450"/>
      <c r="BF107" s="1237"/>
      <c r="BG107" s="450"/>
      <c r="BH107" s="450"/>
      <c r="BI107" s="450"/>
      <c r="BJ107" s="450"/>
      <c r="BK107" s="450"/>
      <c r="BL107" s="450"/>
      <c r="BM107" s="450"/>
      <c r="BN107" s="450"/>
      <c r="BO107" s="450"/>
      <c r="IJ107" s="431" t="str">
        <f t="shared" si="559"/>
        <v>Glasgow Caledonian</v>
      </c>
      <c r="IK107" s="701" t="str">
        <f t="shared" si="560"/>
        <v xml:space="preserve"> </v>
      </c>
      <c r="IM107" s="431" t="s">
        <v>375</v>
      </c>
      <c r="IN107" s="196" t="str">
        <f t="shared" si="416"/>
        <v xml:space="preserve"> </v>
      </c>
      <c r="IQ107" s="78">
        <f t="shared" si="469"/>
        <v>32</v>
      </c>
      <c r="IR107" s="439" t="str">
        <f t="shared" si="550"/>
        <v xml:space="preserve"> </v>
      </c>
      <c r="IS107" s="280">
        <f t="shared" si="510"/>
        <v>0</v>
      </c>
      <c r="IT107" s="280">
        <f t="shared" si="511"/>
        <v>0</v>
      </c>
      <c r="IU107" s="280">
        <f t="shared" si="512"/>
        <v>0</v>
      </c>
      <c r="IV107" s="280">
        <f t="shared" si="513"/>
        <v>0</v>
      </c>
      <c r="IW107" s="280">
        <f t="shared" si="514"/>
        <v>0</v>
      </c>
      <c r="IX107" s="280">
        <f t="shared" si="515"/>
        <v>0</v>
      </c>
      <c r="IY107" s="280">
        <f t="shared" si="516"/>
        <v>0</v>
      </c>
      <c r="IZ107" s="280">
        <f t="shared" si="517"/>
        <v>0</v>
      </c>
      <c r="JA107" s="280">
        <f t="shared" si="518"/>
        <v>0</v>
      </c>
      <c r="JB107" s="280">
        <f t="shared" si="519"/>
        <v>0</v>
      </c>
      <c r="JC107" s="280">
        <f t="shared" si="520"/>
        <v>0</v>
      </c>
      <c r="JD107" s="280">
        <f t="shared" si="521"/>
        <v>0</v>
      </c>
      <c r="JE107" s="280">
        <f t="shared" si="522"/>
        <v>0</v>
      </c>
      <c r="JF107" s="280">
        <f t="shared" si="523"/>
        <v>0</v>
      </c>
      <c r="JG107" s="280">
        <f t="shared" si="524"/>
        <v>0</v>
      </c>
      <c r="JH107" s="280">
        <f t="shared" si="525"/>
        <v>0</v>
      </c>
      <c r="JI107" s="280">
        <f t="shared" si="526"/>
        <v>0</v>
      </c>
      <c r="JJ107" s="280">
        <f t="shared" si="527"/>
        <v>0</v>
      </c>
      <c r="JK107" s="280">
        <f t="shared" si="528"/>
        <v>0</v>
      </c>
      <c r="JL107" s="280">
        <f t="shared" si="529"/>
        <v>0</v>
      </c>
      <c r="JM107" s="280">
        <f t="shared" si="530"/>
        <v>0</v>
      </c>
      <c r="JN107" s="280">
        <f t="shared" si="531"/>
        <v>0</v>
      </c>
      <c r="JO107" s="280">
        <f t="shared" si="532"/>
        <v>0</v>
      </c>
      <c r="JP107" s="280">
        <f t="shared" si="533"/>
        <v>0</v>
      </c>
      <c r="JQ107" s="280">
        <f t="shared" si="534"/>
        <v>0</v>
      </c>
      <c r="JR107" s="280">
        <f t="shared" si="535"/>
        <v>0</v>
      </c>
      <c r="JS107" s="44">
        <f t="shared" si="461"/>
        <v>0</v>
      </c>
      <c r="JT107" s="343" t="e">
        <f t="shared" si="462"/>
        <v>#N/A</v>
      </c>
      <c r="JU107" s="431" t="s">
        <v>375</v>
      </c>
      <c r="JV107" s="280">
        <f t="shared" si="536"/>
        <v>0</v>
      </c>
      <c r="JW107" s="280">
        <f t="shared" si="537"/>
        <v>0</v>
      </c>
      <c r="JX107" s="280">
        <f t="shared" si="538"/>
        <v>0</v>
      </c>
      <c r="JY107" s="280">
        <f t="shared" si="539"/>
        <v>0</v>
      </c>
      <c r="JZ107" s="280">
        <f t="shared" si="540"/>
        <v>0</v>
      </c>
      <c r="KA107" s="280">
        <f t="shared" si="541"/>
        <v>0</v>
      </c>
      <c r="KB107" s="44">
        <f t="shared" si="463"/>
        <v>0</v>
      </c>
      <c r="KC107" s="343" t="e">
        <f t="shared" si="464"/>
        <v>#N/A</v>
      </c>
      <c r="KE107" s="280">
        <f t="shared" si="542"/>
        <v>0</v>
      </c>
      <c r="KF107" s="280">
        <f t="shared" si="543"/>
        <v>0</v>
      </c>
      <c r="KG107" s="280">
        <f t="shared" si="544"/>
        <v>0</v>
      </c>
      <c r="KH107" s="78">
        <f t="shared" si="465"/>
        <v>0</v>
      </c>
      <c r="KI107" s="592" t="str">
        <f t="shared" si="466"/>
        <v xml:space="preserve"> </v>
      </c>
      <c r="KJ107" s="280">
        <f t="shared" si="545"/>
        <v>0</v>
      </c>
      <c r="KK107" s="280">
        <f t="shared" si="546"/>
        <v>0</v>
      </c>
      <c r="KL107" s="280">
        <f t="shared" si="547"/>
        <v>0</v>
      </c>
      <c r="KM107" s="78">
        <f t="shared" si="467"/>
        <v>0</v>
      </c>
      <c r="KN107" s="458">
        <f t="shared" si="468"/>
        <v>0</v>
      </c>
    </row>
    <row r="108" spans="1:327" ht="15" hidden="1" customHeight="1" x14ac:dyDescent="0.25">
      <c r="S108" s="81"/>
      <c r="T108" s="78"/>
      <c r="U108" s="469"/>
      <c r="V108" s="469"/>
      <c r="W108" s="469"/>
      <c r="X108" s="78"/>
      <c r="Y108" s="78"/>
      <c r="Z108" s="78"/>
      <c r="AA108" s="317"/>
      <c r="AB108" s="78"/>
      <c r="AC108" s="78"/>
      <c r="AD108" s="78"/>
      <c r="AE108" s="469"/>
      <c r="AF108" s="78"/>
      <c r="AG108" s="78"/>
      <c r="AH108" s="78"/>
      <c r="AI108" s="469"/>
      <c r="AJ108" s="469"/>
      <c r="AK108" s="469"/>
      <c r="AL108" s="78"/>
      <c r="AM108" s="78"/>
      <c r="AN108" s="450"/>
      <c r="AO108" s="450"/>
      <c r="AP108" s="450"/>
      <c r="AQ108" s="450"/>
      <c r="AR108" s="450"/>
      <c r="AS108" s="450"/>
      <c r="AT108" s="450"/>
      <c r="AU108" s="450"/>
      <c r="AV108" s="450"/>
      <c r="AW108" s="657"/>
      <c r="AX108" s="450"/>
      <c r="AY108" s="450"/>
      <c r="AZ108" s="450"/>
      <c r="BA108" s="450"/>
      <c r="BB108" s="450"/>
      <c r="BC108" s="450"/>
      <c r="BD108" s="450"/>
      <c r="BE108" s="450"/>
      <c r="BF108" s="1237"/>
      <c r="BG108" s="450"/>
      <c r="BH108" s="450"/>
      <c r="BI108" s="450"/>
      <c r="BJ108" s="450"/>
      <c r="BK108" s="450"/>
      <c r="BL108" s="450"/>
      <c r="BM108" s="450"/>
      <c r="BN108" s="450"/>
      <c r="BO108" s="450"/>
      <c r="IJ108" s="431" t="str">
        <f t="shared" si="559"/>
        <v>South Wales</v>
      </c>
      <c r="IK108" s="701" t="str">
        <f t="shared" si="560"/>
        <v xml:space="preserve"> </v>
      </c>
      <c r="IM108" s="431" t="s">
        <v>378</v>
      </c>
      <c r="IN108" s="196" t="str">
        <f t="shared" si="416"/>
        <v xml:space="preserve"> </v>
      </c>
      <c r="IQ108" s="78">
        <f t="shared" si="469"/>
        <v>33</v>
      </c>
      <c r="IR108" s="439" t="str">
        <f t="shared" si="550"/>
        <v xml:space="preserve"> </v>
      </c>
      <c r="IS108" s="280">
        <f t="shared" si="510"/>
        <v>0</v>
      </c>
      <c r="IT108" s="280">
        <f t="shared" si="511"/>
        <v>0</v>
      </c>
      <c r="IU108" s="280">
        <f t="shared" si="512"/>
        <v>0</v>
      </c>
      <c r="IV108" s="280">
        <f t="shared" si="513"/>
        <v>0</v>
      </c>
      <c r="IW108" s="280">
        <f t="shared" si="514"/>
        <v>0</v>
      </c>
      <c r="IX108" s="280">
        <f t="shared" si="515"/>
        <v>0</v>
      </c>
      <c r="IY108" s="280">
        <f t="shared" si="516"/>
        <v>0</v>
      </c>
      <c r="IZ108" s="280">
        <f t="shared" si="517"/>
        <v>0</v>
      </c>
      <c r="JA108" s="280">
        <f t="shared" si="518"/>
        <v>0</v>
      </c>
      <c r="JB108" s="280">
        <f t="shared" si="519"/>
        <v>0</v>
      </c>
      <c r="JC108" s="280">
        <f t="shared" si="520"/>
        <v>0</v>
      </c>
      <c r="JD108" s="280">
        <f t="shared" si="521"/>
        <v>0</v>
      </c>
      <c r="JE108" s="280">
        <f t="shared" si="522"/>
        <v>0</v>
      </c>
      <c r="JF108" s="280">
        <f t="shared" si="523"/>
        <v>0</v>
      </c>
      <c r="JG108" s="280">
        <f t="shared" si="524"/>
        <v>0</v>
      </c>
      <c r="JH108" s="280">
        <f t="shared" si="525"/>
        <v>0</v>
      </c>
      <c r="JI108" s="280">
        <f t="shared" si="526"/>
        <v>0</v>
      </c>
      <c r="JJ108" s="280">
        <f t="shared" si="527"/>
        <v>0</v>
      </c>
      <c r="JK108" s="280">
        <f t="shared" si="528"/>
        <v>0</v>
      </c>
      <c r="JL108" s="280">
        <f t="shared" si="529"/>
        <v>0</v>
      </c>
      <c r="JM108" s="280">
        <f t="shared" si="530"/>
        <v>0</v>
      </c>
      <c r="JN108" s="280">
        <f t="shared" si="531"/>
        <v>0</v>
      </c>
      <c r="JO108" s="280">
        <f t="shared" si="532"/>
        <v>0</v>
      </c>
      <c r="JP108" s="280">
        <f t="shared" si="533"/>
        <v>0</v>
      </c>
      <c r="JQ108" s="280">
        <f t="shared" si="534"/>
        <v>0</v>
      </c>
      <c r="JR108" s="280">
        <f t="shared" si="535"/>
        <v>0</v>
      </c>
      <c r="JS108" s="44">
        <f t="shared" si="461"/>
        <v>0</v>
      </c>
      <c r="JT108" s="343" t="e">
        <f t="shared" si="462"/>
        <v>#N/A</v>
      </c>
      <c r="JU108" s="431" t="s">
        <v>378</v>
      </c>
      <c r="JV108" s="280">
        <f t="shared" si="536"/>
        <v>0</v>
      </c>
      <c r="JW108" s="280">
        <f t="shared" si="537"/>
        <v>0</v>
      </c>
      <c r="JX108" s="280">
        <f t="shared" si="538"/>
        <v>0</v>
      </c>
      <c r="JY108" s="280">
        <f t="shared" si="539"/>
        <v>0</v>
      </c>
      <c r="JZ108" s="280">
        <f t="shared" si="540"/>
        <v>0</v>
      </c>
      <c r="KA108" s="280">
        <f t="shared" si="541"/>
        <v>0</v>
      </c>
      <c r="KB108" s="44">
        <f t="shared" si="463"/>
        <v>0</v>
      </c>
      <c r="KC108" s="343" t="e">
        <f t="shared" si="464"/>
        <v>#N/A</v>
      </c>
      <c r="KE108" s="280">
        <f t="shared" si="542"/>
        <v>0</v>
      </c>
      <c r="KF108" s="280">
        <f t="shared" si="543"/>
        <v>0</v>
      </c>
      <c r="KG108" s="280">
        <f t="shared" si="544"/>
        <v>0</v>
      </c>
      <c r="KH108" s="78">
        <f t="shared" si="465"/>
        <v>0</v>
      </c>
      <c r="KI108" s="592" t="str">
        <f t="shared" si="466"/>
        <v xml:space="preserve"> </v>
      </c>
      <c r="KJ108" s="280">
        <f t="shared" si="545"/>
        <v>0</v>
      </c>
      <c r="KK108" s="280">
        <f t="shared" si="546"/>
        <v>0</v>
      </c>
      <c r="KL108" s="280">
        <f t="shared" si="547"/>
        <v>0</v>
      </c>
      <c r="KM108" s="78">
        <f t="shared" si="467"/>
        <v>0</v>
      </c>
      <c r="KN108" s="458">
        <f t="shared" si="468"/>
        <v>0</v>
      </c>
    </row>
    <row r="109" spans="1:327" ht="15" hidden="1" customHeight="1" x14ac:dyDescent="0.25">
      <c r="S109" s="81"/>
      <c r="T109" s="78"/>
      <c r="U109" s="469"/>
      <c r="V109" s="469"/>
      <c r="W109" s="469"/>
      <c r="X109" s="78"/>
      <c r="Y109" s="78"/>
      <c r="Z109" s="78"/>
      <c r="AA109" s="317"/>
      <c r="AB109" s="78"/>
      <c r="AC109" s="78"/>
      <c r="AD109" s="78"/>
      <c r="AE109" s="469"/>
      <c r="AF109" s="78"/>
      <c r="AG109" s="78"/>
      <c r="AH109" s="78"/>
      <c r="AI109" s="469"/>
      <c r="AJ109" s="469"/>
      <c r="AK109" s="469"/>
      <c r="AL109" s="78"/>
      <c r="AM109" s="78"/>
      <c r="AN109" s="450"/>
      <c r="AO109" s="450"/>
      <c r="AP109" s="450"/>
      <c r="AQ109" s="450"/>
      <c r="AR109" s="450"/>
      <c r="AS109" s="450"/>
      <c r="AT109" s="450"/>
      <c r="AU109" s="450"/>
      <c r="AV109" s="450"/>
      <c r="AW109" s="657"/>
      <c r="AX109" s="450"/>
      <c r="AY109" s="450"/>
      <c r="AZ109" s="450"/>
      <c r="BA109" s="450"/>
      <c r="BB109" s="450"/>
      <c r="BC109" s="450"/>
      <c r="BD109" s="450"/>
      <c r="BE109" s="450"/>
      <c r="BF109" s="1237"/>
      <c r="BG109" s="450"/>
      <c r="BH109" s="450"/>
      <c r="BI109" s="450"/>
      <c r="BJ109" s="450"/>
      <c r="BK109" s="450"/>
      <c r="BL109" s="450"/>
      <c r="BM109" s="450"/>
      <c r="BN109" s="471"/>
      <c r="BO109" s="450"/>
      <c r="IJ109" s="431" t="str">
        <f t="shared" si="559"/>
        <v>Wolverhampton</v>
      </c>
      <c r="IK109" s="701" t="str">
        <f t="shared" si="560"/>
        <v xml:space="preserve"> </v>
      </c>
      <c r="IM109" s="431" t="s">
        <v>381</v>
      </c>
      <c r="IN109" s="196" t="str">
        <f t="shared" si="416"/>
        <v xml:space="preserve"> </v>
      </c>
      <c r="IQ109" s="78">
        <f t="shared" si="469"/>
        <v>34</v>
      </c>
      <c r="IR109" s="439" t="str">
        <f t="shared" si="550"/>
        <v xml:space="preserve"> </v>
      </c>
      <c r="IS109" s="280">
        <f t="shared" si="510"/>
        <v>0</v>
      </c>
      <c r="IT109" s="280">
        <f t="shared" si="511"/>
        <v>0</v>
      </c>
      <c r="IU109" s="280">
        <f t="shared" si="512"/>
        <v>0</v>
      </c>
      <c r="IV109" s="280">
        <f t="shared" si="513"/>
        <v>0</v>
      </c>
      <c r="IW109" s="280">
        <f t="shared" si="514"/>
        <v>0</v>
      </c>
      <c r="IX109" s="280">
        <f t="shared" si="515"/>
        <v>0</v>
      </c>
      <c r="IY109" s="280">
        <f t="shared" si="516"/>
        <v>0</v>
      </c>
      <c r="IZ109" s="280">
        <f t="shared" si="517"/>
        <v>0</v>
      </c>
      <c r="JA109" s="280">
        <f t="shared" si="518"/>
        <v>0</v>
      </c>
      <c r="JB109" s="280">
        <f t="shared" si="519"/>
        <v>0</v>
      </c>
      <c r="JC109" s="280">
        <f t="shared" si="520"/>
        <v>0</v>
      </c>
      <c r="JD109" s="280">
        <f t="shared" si="521"/>
        <v>0</v>
      </c>
      <c r="JE109" s="280">
        <f t="shared" si="522"/>
        <v>0</v>
      </c>
      <c r="JF109" s="280">
        <f t="shared" si="523"/>
        <v>0</v>
      </c>
      <c r="JG109" s="280">
        <f t="shared" si="524"/>
        <v>0</v>
      </c>
      <c r="JH109" s="280">
        <f t="shared" si="525"/>
        <v>0</v>
      </c>
      <c r="JI109" s="280">
        <f t="shared" si="526"/>
        <v>0</v>
      </c>
      <c r="JJ109" s="280">
        <f t="shared" si="527"/>
        <v>0</v>
      </c>
      <c r="JK109" s="280">
        <f t="shared" si="528"/>
        <v>0</v>
      </c>
      <c r="JL109" s="280">
        <f t="shared" si="529"/>
        <v>0</v>
      </c>
      <c r="JM109" s="280">
        <f t="shared" si="530"/>
        <v>0</v>
      </c>
      <c r="JN109" s="280">
        <f t="shared" si="531"/>
        <v>0</v>
      </c>
      <c r="JO109" s="280">
        <f t="shared" si="532"/>
        <v>0</v>
      </c>
      <c r="JP109" s="280">
        <f t="shared" si="533"/>
        <v>0</v>
      </c>
      <c r="JQ109" s="280">
        <f t="shared" si="534"/>
        <v>0</v>
      </c>
      <c r="JR109" s="280">
        <f t="shared" si="535"/>
        <v>0</v>
      </c>
      <c r="JS109" s="44">
        <f t="shared" si="461"/>
        <v>0</v>
      </c>
      <c r="JT109" s="343" t="e">
        <f t="shared" si="462"/>
        <v>#N/A</v>
      </c>
      <c r="JU109" s="431" t="s">
        <v>1053</v>
      </c>
      <c r="JV109" s="280">
        <f t="shared" si="536"/>
        <v>0</v>
      </c>
      <c r="JW109" s="280">
        <f t="shared" si="537"/>
        <v>0</v>
      </c>
      <c r="JX109" s="280">
        <f t="shared" si="538"/>
        <v>0</v>
      </c>
      <c r="JY109" s="280">
        <f t="shared" si="539"/>
        <v>0</v>
      </c>
      <c r="JZ109" s="280">
        <f t="shared" si="540"/>
        <v>0</v>
      </c>
      <c r="KA109" s="280">
        <f t="shared" si="541"/>
        <v>0</v>
      </c>
      <c r="KB109" s="44">
        <f t="shared" si="463"/>
        <v>0</v>
      </c>
      <c r="KC109" s="343" t="e">
        <f t="shared" si="464"/>
        <v>#N/A</v>
      </c>
      <c r="KE109" s="280">
        <f t="shared" si="542"/>
        <v>0</v>
      </c>
      <c r="KF109" s="280">
        <f t="shared" si="543"/>
        <v>0</v>
      </c>
      <c r="KG109" s="280">
        <f t="shared" si="544"/>
        <v>0</v>
      </c>
      <c r="KH109" s="78">
        <f t="shared" si="465"/>
        <v>0</v>
      </c>
      <c r="KI109" s="592" t="str">
        <f t="shared" si="466"/>
        <v xml:space="preserve"> </v>
      </c>
      <c r="KJ109" s="280">
        <f t="shared" si="545"/>
        <v>0</v>
      </c>
      <c r="KK109" s="280">
        <f t="shared" si="546"/>
        <v>0</v>
      </c>
      <c r="KL109" s="280">
        <f t="shared" si="547"/>
        <v>0</v>
      </c>
      <c r="KM109" s="78">
        <f t="shared" si="467"/>
        <v>0</v>
      </c>
      <c r="KN109" s="458">
        <f t="shared" si="468"/>
        <v>0</v>
      </c>
    </row>
    <row r="110" spans="1:327" ht="15" hidden="1" customHeight="1" x14ac:dyDescent="0.25">
      <c r="S110" s="81"/>
      <c r="T110" s="78"/>
      <c r="U110" s="450"/>
      <c r="V110" s="450"/>
      <c r="W110" s="450"/>
      <c r="X110" s="450"/>
      <c r="Y110" s="450"/>
      <c r="Z110" s="450"/>
      <c r="AA110" s="450"/>
      <c r="AB110" s="450"/>
      <c r="AC110" s="450"/>
      <c r="AD110" s="450"/>
      <c r="AE110" s="450"/>
      <c r="AF110" s="450"/>
      <c r="AG110" s="450"/>
      <c r="AH110" s="450"/>
      <c r="AI110" s="450"/>
      <c r="AJ110" s="450"/>
      <c r="AK110" s="450"/>
      <c r="AL110" s="450"/>
      <c r="AM110" s="450"/>
      <c r="AN110" s="450"/>
      <c r="AO110" s="450"/>
      <c r="AP110" s="450"/>
      <c r="AQ110" s="450"/>
      <c r="AR110" s="450"/>
      <c r="AS110" s="450"/>
      <c r="AT110" s="450"/>
      <c r="AU110" s="450"/>
      <c r="AV110" s="450"/>
      <c r="AW110" s="657"/>
      <c r="AX110" s="450"/>
      <c r="AY110" s="450"/>
      <c r="AZ110" s="450"/>
      <c r="BA110" s="450"/>
      <c r="BB110" s="450"/>
      <c r="BC110" s="450"/>
      <c r="BD110" s="450"/>
      <c r="BE110" s="450"/>
      <c r="BF110" s="1237"/>
      <c r="BG110" s="471"/>
      <c r="BH110" s="471"/>
      <c r="BI110" s="471"/>
      <c r="BJ110" s="471"/>
      <c r="BK110" s="471"/>
      <c r="BL110" s="471"/>
      <c r="BM110" s="471"/>
      <c r="IJ110" s="431" t="str">
        <f t="shared" si="559"/>
        <v>Hertfordshire</v>
      </c>
      <c r="IK110" s="701" t="str">
        <f t="shared" si="560"/>
        <v xml:space="preserve"> </v>
      </c>
      <c r="IM110" s="431" t="s">
        <v>384</v>
      </c>
      <c r="IN110" s="196" t="str">
        <f t="shared" si="416"/>
        <v xml:space="preserve"> </v>
      </c>
      <c r="IQ110" s="78">
        <f t="shared" si="469"/>
        <v>35</v>
      </c>
      <c r="IR110" s="439" t="str">
        <f t="shared" si="550"/>
        <v xml:space="preserve"> </v>
      </c>
      <c r="IS110" s="280">
        <f t="shared" si="510"/>
        <v>0</v>
      </c>
      <c r="IT110" s="280">
        <f t="shared" si="511"/>
        <v>0</v>
      </c>
      <c r="IU110" s="280">
        <f t="shared" si="512"/>
        <v>0</v>
      </c>
      <c r="IV110" s="280">
        <f t="shared" si="513"/>
        <v>0</v>
      </c>
      <c r="IW110" s="280">
        <f t="shared" si="514"/>
        <v>0</v>
      </c>
      <c r="IX110" s="280">
        <f t="shared" si="515"/>
        <v>0</v>
      </c>
      <c r="IY110" s="280">
        <f t="shared" si="516"/>
        <v>0</v>
      </c>
      <c r="IZ110" s="280">
        <f t="shared" si="517"/>
        <v>0</v>
      </c>
      <c r="JA110" s="280">
        <f t="shared" si="518"/>
        <v>0</v>
      </c>
      <c r="JB110" s="280">
        <f t="shared" si="519"/>
        <v>0</v>
      </c>
      <c r="JC110" s="280">
        <f t="shared" si="520"/>
        <v>0</v>
      </c>
      <c r="JD110" s="280">
        <f t="shared" si="521"/>
        <v>0</v>
      </c>
      <c r="JE110" s="280">
        <f t="shared" si="522"/>
        <v>0</v>
      </c>
      <c r="JF110" s="280">
        <f t="shared" si="523"/>
        <v>0</v>
      </c>
      <c r="JG110" s="280">
        <f t="shared" si="524"/>
        <v>0</v>
      </c>
      <c r="JH110" s="280">
        <f t="shared" si="525"/>
        <v>0</v>
      </c>
      <c r="JI110" s="280">
        <f t="shared" si="526"/>
        <v>0</v>
      </c>
      <c r="JJ110" s="280">
        <f t="shared" si="527"/>
        <v>0</v>
      </c>
      <c r="JK110" s="280">
        <f t="shared" si="528"/>
        <v>0</v>
      </c>
      <c r="JL110" s="280">
        <f t="shared" si="529"/>
        <v>0</v>
      </c>
      <c r="JM110" s="280">
        <f t="shared" si="530"/>
        <v>0</v>
      </c>
      <c r="JN110" s="280">
        <f t="shared" si="531"/>
        <v>0</v>
      </c>
      <c r="JO110" s="280">
        <f t="shared" si="532"/>
        <v>0</v>
      </c>
      <c r="JP110" s="280">
        <f t="shared" si="533"/>
        <v>0</v>
      </c>
      <c r="JQ110" s="280">
        <f t="shared" si="534"/>
        <v>0</v>
      </c>
      <c r="JR110" s="280">
        <f t="shared" si="535"/>
        <v>0</v>
      </c>
      <c r="JS110" s="44">
        <f t="shared" si="461"/>
        <v>0</v>
      </c>
      <c r="JT110" s="343" t="e">
        <f t="shared" si="462"/>
        <v>#N/A</v>
      </c>
      <c r="JU110" s="431" t="s">
        <v>384</v>
      </c>
      <c r="JV110" s="280">
        <f t="shared" si="536"/>
        <v>0</v>
      </c>
      <c r="JW110" s="280">
        <f t="shared" si="537"/>
        <v>0</v>
      </c>
      <c r="JX110" s="280">
        <f t="shared" si="538"/>
        <v>0</v>
      </c>
      <c r="JY110" s="280">
        <f t="shared" si="539"/>
        <v>0</v>
      </c>
      <c r="JZ110" s="280">
        <f t="shared" si="540"/>
        <v>0</v>
      </c>
      <c r="KA110" s="280">
        <f t="shared" si="541"/>
        <v>0</v>
      </c>
      <c r="KB110" s="44">
        <f t="shared" si="463"/>
        <v>0</v>
      </c>
      <c r="KC110" s="343" t="e">
        <f t="shared" si="464"/>
        <v>#N/A</v>
      </c>
      <c r="KE110" s="280">
        <f t="shared" si="542"/>
        <v>0</v>
      </c>
      <c r="KF110" s="280">
        <f t="shared" si="543"/>
        <v>0</v>
      </c>
      <c r="KG110" s="280">
        <f t="shared" si="544"/>
        <v>0</v>
      </c>
      <c r="KH110" s="78">
        <f t="shared" si="465"/>
        <v>0</v>
      </c>
      <c r="KI110" s="592" t="str">
        <f t="shared" si="466"/>
        <v xml:space="preserve"> </v>
      </c>
      <c r="KJ110" s="280">
        <f t="shared" si="545"/>
        <v>0</v>
      </c>
      <c r="KK110" s="280">
        <f t="shared" si="546"/>
        <v>0</v>
      </c>
      <c r="KL110" s="280">
        <f t="shared" si="547"/>
        <v>0</v>
      </c>
      <c r="KM110" s="78">
        <f t="shared" si="467"/>
        <v>0</v>
      </c>
      <c r="KN110" s="458">
        <f t="shared" si="468"/>
        <v>0</v>
      </c>
    </row>
    <row r="111" spans="1:327" ht="15" hidden="1" customHeight="1" x14ac:dyDescent="0.25">
      <c r="S111" s="81"/>
      <c r="T111" s="78"/>
      <c r="U111" s="450"/>
      <c r="V111" s="450"/>
      <c r="W111" s="450"/>
      <c r="X111" s="450"/>
      <c r="Y111" s="450"/>
      <c r="Z111" s="450"/>
      <c r="AA111" s="450"/>
      <c r="AB111" s="450"/>
      <c r="AC111" s="450"/>
      <c r="AD111" s="450"/>
      <c r="AE111" s="450"/>
      <c r="AF111" s="450"/>
      <c r="AG111" s="450"/>
      <c r="AH111" s="450"/>
      <c r="AI111" s="450"/>
      <c r="AJ111" s="450"/>
      <c r="AK111" s="450"/>
      <c r="AL111" s="450"/>
      <c r="AM111" s="450"/>
      <c r="AN111" s="450"/>
      <c r="AO111" s="450"/>
      <c r="AP111" s="450"/>
      <c r="AQ111" s="450"/>
      <c r="AR111" s="450"/>
      <c r="AS111" s="450"/>
      <c r="AT111" s="450"/>
      <c r="AU111" s="450"/>
      <c r="AV111" s="450"/>
      <c r="AW111" s="657"/>
      <c r="AX111" s="450"/>
      <c r="AY111" s="450"/>
      <c r="AZ111" s="450"/>
      <c r="BA111" s="450"/>
      <c r="BB111" s="450"/>
      <c r="BC111" s="450"/>
      <c r="BD111" s="450"/>
      <c r="BE111" s="450"/>
      <c r="BF111" s="1237"/>
      <c r="IJ111" s="431" t="str">
        <f t="shared" si="559"/>
        <v>East London</v>
      </c>
      <c r="IK111" s="701" t="str">
        <f t="shared" si="560"/>
        <v xml:space="preserve"> </v>
      </c>
      <c r="IM111" s="431" t="s">
        <v>392</v>
      </c>
      <c r="IN111" s="196" t="str">
        <f t="shared" si="416"/>
        <v xml:space="preserve"> </v>
      </c>
      <c r="IQ111" s="78">
        <f t="shared" si="469"/>
        <v>36</v>
      </c>
      <c r="IR111" s="439" t="str">
        <f t="shared" si="550"/>
        <v xml:space="preserve"> </v>
      </c>
      <c r="IS111" s="280">
        <f t="shared" si="510"/>
        <v>0</v>
      </c>
      <c r="IT111" s="280">
        <f t="shared" si="511"/>
        <v>0</v>
      </c>
      <c r="IU111" s="280">
        <f t="shared" si="512"/>
        <v>0</v>
      </c>
      <c r="IV111" s="280">
        <f t="shared" si="513"/>
        <v>0</v>
      </c>
      <c r="IW111" s="280">
        <f t="shared" si="514"/>
        <v>0</v>
      </c>
      <c r="IX111" s="280">
        <f t="shared" si="515"/>
        <v>0</v>
      </c>
      <c r="IY111" s="280">
        <f t="shared" si="516"/>
        <v>0</v>
      </c>
      <c r="IZ111" s="280">
        <f t="shared" si="517"/>
        <v>0</v>
      </c>
      <c r="JA111" s="280">
        <f t="shared" si="518"/>
        <v>0</v>
      </c>
      <c r="JB111" s="280">
        <f t="shared" si="519"/>
        <v>0</v>
      </c>
      <c r="JC111" s="280">
        <f t="shared" si="520"/>
        <v>0</v>
      </c>
      <c r="JD111" s="280">
        <f t="shared" si="521"/>
        <v>0</v>
      </c>
      <c r="JE111" s="280">
        <f t="shared" si="522"/>
        <v>0</v>
      </c>
      <c r="JF111" s="280">
        <f t="shared" si="523"/>
        <v>0</v>
      </c>
      <c r="JG111" s="280">
        <f t="shared" si="524"/>
        <v>0</v>
      </c>
      <c r="JH111" s="280">
        <f t="shared" si="525"/>
        <v>0</v>
      </c>
      <c r="JI111" s="280">
        <f t="shared" si="526"/>
        <v>0</v>
      </c>
      <c r="JJ111" s="280">
        <f t="shared" si="527"/>
        <v>0</v>
      </c>
      <c r="JK111" s="280">
        <f t="shared" si="528"/>
        <v>0</v>
      </c>
      <c r="JL111" s="280">
        <f t="shared" si="529"/>
        <v>0</v>
      </c>
      <c r="JM111" s="280">
        <f t="shared" si="530"/>
        <v>0</v>
      </c>
      <c r="JN111" s="280">
        <f t="shared" si="531"/>
        <v>0</v>
      </c>
      <c r="JO111" s="280">
        <f t="shared" si="532"/>
        <v>0</v>
      </c>
      <c r="JP111" s="280">
        <f t="shared" si="533"/>
        <v>0</v>
      </c>
      <c r="JQ111" s="280">
        <f t="shared" si="534"/>
        <v>0</v>
      </c>
      <c r="JR111" s="280">
        <f t="shared" si="535"/>
        <v>0</v>
      </c>
      <c r="JS111" s="44">
        <f t="shared" si="461"/>
        <v>0</v>
      </c>
      <c r="JT111" s="343" t="e">
        <f t="shared" si="462"/>
        <v>#N/A</v>
      </c>
      <c r="JU111" s="431" t="s">
        <v>392</v>
      </c>
      <c r="JV111" s="280">
        <f t="shared" si="536"/>
        <v>0</v>
      </c>
      <c r="JW111" s="280">
        <f t="shared" si="537"/>
        <v>0</v>
      </c>
      <c r="JX111" s="280">
        <f t="shared" si="538"/>
        <v>0</v>
      </c>
      <c r="JY111" s="280">
        <f t="shared" si="539"/>
        <v>0</v>
      </c>
      <c r="JZ111" s="280">
        <f t="shared" si="540"/>
        <v>0</v>
      </c>
      <c r="KA111" s="280">
        <f t="shared" si="541"/>
        <v>0</v>
      </c>
      <c r="KB111" s="44">
        <f t="shared" si="463"/>
        <v>0</v>
      </c>
      <c r="KC111" s="343" t="e">
        <f t="shared" si="464"/>
        <v>#N/A</v>
      </c>
      <c r="KE111" s="280">
        <f t="shared" si="542"/>
        <v>0</v>
      </c>
      <c r="KF111" s="280">
        <f t="shared" si="543"/>
        <v>0</v>
      </c>
      <c r="KG111" s="280">
        <f t="shared" si="544"/>
        <v>0</v>
      </c>
      <c r="KH111" s="78">
        <f t="shared" si="465"/>
        <v>0</v>
      </c>
      <c r="KI111" s="592" t="str">
        <f t="shared" si="466"/>
        <v xml:space="preserve"> </v>
      </c>
      <c r="KJ111" s="280">
        <f t="shared" si="545"/>
        <v>0</v>
      </c>
      <c r="KK111" s="280">
        <f t="shared" si="546"/>
        <v>0</v>
      </c>
      <c r="KL111" s="280">
        <f t="shared" si="547"/>
        <v>0</v>
      </c>
      <c r="KM111" s="78">
        <f t="shared" si="467"/>
        <v>0</v>
      </c>
      <c r="KN111" s="458">
        <f t="shared" si="468"/>
        <v>0</v>
      </c>
    </row>
    <row r="112" spans="1:327" ht="15" hidden="1" customHeight="1" x14ac:dyDescent="0.25">
      <c r="S112" s="81"/>
      <c r="T112" s="81"/>
      <c r="U112" s="471"/>
      <c r="V112" s="471"/>
      <c r="W112" s="471"/>
      <c r="X112" s="471"/>
      <c r="Y112" s="471"/>
      <c r="Z112" s="471"/>
      <c r="AA112" s="471"/>
      <c r="AB112" s="471"/>
      <c r="AC112" s="471"/>
      <c r="AD112" s="471"/>
      <c r="AE112" s="471"/>
      <c r="AF112" s="471"/>
      <c r="AG112" s="471"/>
      <c r="AH112" s="471"/>
      <c r="AI112" s="471"/>
      <c r="AJ112" s="471"/>
      <c r="AK112" s="471"/>
      <c r="AL112" s="471"/>
      <c r="AM112" s="471"/>
      <c r="AN112" s="471"/>
      <c r="AO112" s="471"/>
      <c r="AP112" s="471"/>
      <c r="AQ112" s="471"/>
      <c r="AR112" s="471"/>
      <c r="AS112" s="471"/>
      <c r="AT112" s="471"/>
      <c r="AU112" s="471"/>
      <c r="AV112" s="471"/>
      <c r="AW112" s="657"/>
      <c r="AX112" s="471"/>
      <c r="AY112" s="471"/>
      <c r="AZ112" s="471"/>
      <c r="BA112" s="471"/>
      <c r="BB112" s="471"/>
      <c r="BC112" s="471"/>
      <c r="BD112" s="471"/>
      <c r="BE112" s="471"/>
      <c r="BF112" s="471"/>
      <c r="BP112" s="81"/>
      <c r="BQ112" s="81"/>
      <c r="IJ112" s="704" t="str">
        <f t="shared" si="559"/>
        <v>Roehampton</v>
      </c>
      <c r="IK112" s="701" t="str">
        <f t="shared" si="560"/>
        <v xml:space="preserve"> </v>
      </c>
      <c r="IM112" s="704" t="s">
        <v>925</v>
      </c>
      <c r="IN112" s="196" t="str">
        <f t="shared" si="416"/>
        <v xml:space="preserve"> </v>
      </c>
      <c r="IQ112" s="78">
        <f t="shared" si="469"/>
        <v>37</v>
      </c>
      <c r="IR112" s="439" t="str">
        <f t="shared" si="550"/>
        <v xml:space="preserve"> </v>
      </c>
      <c r="IS112" s="280">
        <f t="shared" si="510"/>
        <v>0</v>
      </c>
      <c r="IT112" s="280">
        <f t="shared" si="511"/>
        <v>0</v>
      </c>
      <c r="IU112" s="280">
        <f t="shared" si="512"/>
        <v>0</v>
      </c>
      <c r="IV112" s="280">
        <f t="shared" si="513"/>
        <v>0</v>
      </c>
      <c r="IW112" s="280">
        <f t="shared" si="514"/>
        <v>0</v>
      </c>
      <c r="IX112" s="280">
        <f t="shared" si="515"/>
        <v>0</v>
      </c>
      <c r="IY112" s="280">
        <f t="shared" si="516"/>
        <v>0</v>
      </c>
      <c r="IZ112" s="280">
        <f t="shared" si="517"/>
        <v>0</v>
      </c>
      <c r="JA112" s="280">
        <f t="shared" si="518"/>
        <v>0</v>
      </c>
      <c r="JB112" s="280">
        <f t="shared" si="519"/>
        <v>0</v>
      </c>
      <c r="JC112" s="280">
        <f t="shared" si="520"/>
        <v>0</v>
      </c>
      <c r="JD112" s="280">
        <f t="shared" si="521"/>
        <v>0</v>
      </c>
      <c r="JE112" s="280">
        <f t="shared" si="522"/>
        <v>0</v>
      </c>
      <c r="JF112" s="280">
        <f t="shared" si="523"/>
        <v>0</v>
      </c>
      <c r="JG112" s="280">
        <f t="shared" si="524"/>
        <v>0</v>
      </c>
      <c r="JH112" s="280">
        <f t="shared" si="525"/>
        <v>0</v>
      </c>
      <c r="JI112" s="280">
        <f t="shared" si="526"/>
        <v>0</v>
      </c>
      <c r="JJ112" s="280">
        <f t="shared" si="527"/>
        <v>0</v>
      </c>
      <c r="JK112" s="280">
        <f t="shared" si="528"/>
        <v>0</v>
      </c>
      <c r="JL112" s="280">
        <f t="shared" si="529"/>
        <v>0</v>
      </c>
      <c r="JM112" s="280">
        <f t="shared" si="530"/>
        <v>0</v>
      </c>
      <c r="JN112" s="280">
        <f t="shared" si="531"/>
        <v>0</v>
      </c>
      <c r="JO112" s="280">
        <f t="shared" si="532"/>
        <v>0</v>
      </c>
      <c r="JP112" s="280">
        <f t="shared" si="533"/>
        <v>0</v>
      </c>
      <c r="JQ112" s="280">
        <f t="shared" si="534"/>
        <v>0</v>
      </c>
      <c r="JR112" s="280">
        <f t="shared" si="535"/>
        <v>0</v>
      </c>
      <c r="JS112" s="44">
        <f t="shared" ref="JS112" si="561">SUM(IS112:JR112)</f>
        <v>0</v>
      </c>
      <c r="JT112" s="343" t="e">
        <f t="shared" ref="JT112" si="562">HLOOKUP(JS112,$IS$32:$JR$33,2,0)</f>
        <v>#N/A</v>
      </c>
      <c r="JU112" s="704" t="s">
        <v>925</v>
      </c>
      <c r="JV112" s="280">
        <f t="shared" si="536"/>
        <v>0</v>
      </c>
      <c r="JW112" s="280">
        <f t="shared" si="537"/>
        <v>0</v>
      </c>
      <c r="JX112" s="280">
        <f t="shared" si="538"/>
        <v>0</v>
      </c>
      <c r="JY112" s="280">
        <f t="shared" si="539"/>
        <v>0</v>
      </c>
      <c r="JZ112" s="280">
        <f t="shared" si="540"/>
        <v>0</v>
      </c>
      <c r="KA112" s="280">
        <f t="shared" si="541"/>
        <v>0</v>
      </c>
      <c r="KB112" s="44">
        <f t="shared" ref="KB112" si="563">SUM(JV112:KA112)</f>
        <v>0</v>
      </c>
      <c r="KC112" s="343" t="e">
        <f t="shared" ref="KC112" si="564">HLOOKUP(KB112,$JV$32:$KB$33,2,0)</f>
        <v>#N/A</v>
      </c>
      <c r="KE112" s="280">
        <f t="shared" si="542"/>
        <v>0</v>
      </c>
      <c r="KF112" s="280">
        <f t="shared" si="543"/>
        <v>0</v>
      </c>
      <c r="KG112" s="280">
        <f t="shared" si="544"/>
        <v>0</v>
      </c>
      <c r="KH112" s="78">
        <f t="shared" ref="KH112" si="565">IF(SUM(KE112:KG112)&gt;0,"PP",0)</f>
        <v>0</v>
      </c>
      <c r="KI112" s="592" t="str">
        <f t="shared" ref="KI112" si="566">IR112</f>
        <v xml:space="preserve"> </v>
      </c>
      <c r="KJ112" s="280">
        <f t="shared" si="545"/>
        <v>0</v>
      </c>
      <c r="KK112" s="280">
        <f t="shared" si="546"/>
        <v>0</v>
      </c>
      <c r="KL112" s="280">
        <f t="shared" si="547"/>
        <v>0</v>
      </c>
      <c r="KM112" s="78">
        <f t="shared" ref="KM112" si="567">IF(SUM(KJ112:KL112)&gt;0,"P",0)</f>
        <v>0</v>
      </c>
      <c r="KN112" s="458">
        <f t="shared" ref="KN112" si="568">KM112</f>
        <v>0</v>
      </c>
    </row>
    <row r="113" spans="19:300" ht="15" hidden="1" customHeight="1" x14ac:dyDescent="0.25">
      <c r="S113" s="81"/>
      <c r="T113" s="81"/>
      <c r="U113" s="60"/>
      <c r="V113" s="60"/>
      <c r="W113" s="472" t="s">
        <v>861</v>
      </c>
      <c r="AB113" s="81"/>
      <c r="AC113" s="81"/>
      <c r="AD113" s="81"/>
      <c r="AE113" s="473"/>
      <c r="AI113" s="60"/>
      <c r="AJ113" s="544"/>
      <c r="AK113" s="544"/>
      <c r="AW113" s="657"/>
      <c r="BP113" s="81"/>
      <c r="BQ113" s="81"/>
      <c r="IJ113" s="431" t="str">
        <f t="shared" si="559"/>
        <v>Plymouth Marjon</v>
      </c>
      <c r="IK113" s="701" t="str">
        <f t="shared" si="560"/>
        <v xml:space="preserve"> </v>
      </c>
      <c r="IM113" s="431" t="s">
        <v>399</v>
      </c>
      <c r="IN113" s="196" t="str">
        <f t="shared" si="416"/>
        <v xml:space="preserve"> </v>
      </c>
      <c r="IQ113" s="78">
        <f t="shared" si="469"/>
        <v>38</v>
      </c>
      <c r="IR113" s="439" t="str">
        <f t="shared" si="550"/>
        <v xml:space="preserve"> </v>
      </c>
      <c r="IS113" s="280">
        <f t="shared" si="510"/>
        <v>0</v>
      </c>
      <c r="IT113" s="280">
        <f t="shared" si="511"/>
        <v>0</v>
      </c>
      <c r="IU113" s="280">
        <f t="shared" si="512"/>
        <v>0</v>
      </c>
      <c r="IV113" s="280">
        <f t="shared" si="513"/>
        <v>0</v>
      </c>
      <c r="IW113" s="280">
        <f t="shared" si="514"/>
        <v>0</v>
      </c>
      <c r="IX113" s="280">
        <f t="shared" si="515"/>
        <v>0</v>
      </c>
      <c r="IY113" s="280">
        <f t="shared" si="516"/>
        <v>0</v>
      </c>
      <c r="IZ113" s="280">
        <f t="shared" si="517"/>
        <v>0</v>
      </c>
      <c r="JA113" s="280">
        <f t="shared" si="518"/>
        <v>0</v>
      </c>
      <c r="JB113" s="280">
        <f t="shared" si="519"/>
        <v>0</v>
      </c>
      <c r="JC113" s="280">
        <f t="shared" si="520"/>
        <v>0</v>
      </c>
      <c r="JD113" s="280">
        <f t="shared" si="521"/>
        <v>0</v>
      </c>
      <c r="JE113" s="280">
        <f t="shared" si="522"/>
        <v>0</v>
      </c>
      <c r="JF113" s="280">
        <f t="shared" si="523"/>
        <v>0</v>
      </c>
      <c r="JG113" s="280">
        <f t="shared" si="524"/>
        <v>0</v>
      </c>
      <c r="JH113" s="280">
        <f t="shared" si="525"/>
        <v>0</v>
      </c>
      <c r="JI113" s="280">
        <f t="shared" si="526"/>
        <v>0</v>
      </c>
      <c r="JJ113" s="280">
        <f t="shared" si="527"/>
        <v>0</v>
      </c>
      <c r="JK113" s="280">
        <f t="shared" si="528"/>
        <v>0</v>
      </c>
      <c r="JL113" s="280">
        <f t="shared" si="529"/>
        <v>0</v>
      </c>
      <c r="JM113" s="280">
        <f t="shared" si="530"/>
        <v>0</v>
      </c>
      <c r="JN113" s="280">
        <f t="shared" si="531"/>
        <v>0</v>
      </c>
      <c r="JO113" s="280">
        <f t="shared" si="532"/>
        <v>0</v>
      </c>
      <c r="JP113" s="280">
        <f t="shared" si="533"/>
        <v>0</v>
      </c>
      <c r="JQ113" s="280">
        <f t="shared" si="534"/>
        <v>0</v>
      </c>
      <c r="JR113" s="280">
        <f t="shared" si="535"/>
        <v>0</v>
      </c>
      <c r="JS113" s="44">
        <f t="shared" si="461"/>
        <v>0</v>
      </c>
      <c r="JT113" s="343" t="e">
        <f t="shared" si="462"/>
        <v>#N/A</v>
      </c>
      <c r="JU113" s="431" t="s">
        <v>399</v>
      </c>
      <c r="JV113" s="280">
        <f t="shared" si="536"/>
        <v>0</v>
      </c>
      <c r="JW113" s="280">
        <f t="shared" si="537"/>
        <v>0</v>
      </c>
      <c r="JX113" s="280">
        <f t="shared" si="538"/>
        <v>0</v>
      </c>
      <c r="JY113" s="280">
        <f t="shared" si="539"/>
        <v>0</v>
      </c>
      <c r="JZ113" s="280">
        <f t="shared" si="540"/>
        <v>0</v>
      </c>
      <c r="KA113" s="280">
        <f t="shared" si="541"/>
        <v>0</v>
      </c>
      <c r="KB113" s="44">
        <f t="shared" si="463"/>
        <v>0</v>
      </c>
      <c r="KC113" s="343" t="e">
        <f t="shared" si="464"/>
        <v>#N/A</v>
      </c>
      <c r="KE113" s="280">
        <f t="shared" si="542"/>
        <v>0</v>
      </c>
      <c r="KF113" s="280">
        <f t="shared" si="543"/>
        <v>0</v>
      </c>
      <c r="KG113" s="280">
        <f t="shared" si="544"/>
        <v>0</v>
      </c>
      <c r="KH113" s="78">
        <f t="shared" si="465"/>
        <v>0</v>
      </c>
      <c r="KI113" s="592" t="str">
        <f t="shared" si="466"/>
        <v xml:space="preserve"> </v>
      </c>
      <c r="KJ113" s="280">
        <f t="shared" si="545"/>
        <v>0</v>
      </c>
      <c r="KK113" s="280">
        <f t="shared" si="546"/>
        <v>0</v>
      </c>
      <c r="KL113" s="280">
        <f t="shared" si="547"/>
        <v>0</v>
      </c>
      <c r="KM113" s="78">
        <f t="shared" si="467"/>
        <v>0</v>
      </c>
      <c r="KN113" s="458">
        <f t="shared" si="468"/>
        <v>0</v>
      </c>
    </row>
    <row r="114" spans="19:300" ht="15" hidden="1" customHeight="1" x14ac:dyDescent="0.25">
      <c r="S114" s="81"/>
      <c r="T114" s="81"/>
      <c r="U114" s="60"/>
      <c r="V114" s="60"/>
      <c r="W114" s="474" t="s">
        <v>862</v>
      </c>
      <c r="X114" s="263"/>
      <c r="Y114" s="475" t="s">
        <v>863</v>
      </c>
      <c r="Z114" s="476" t="s">
        <v>861</v>
      </c>
      <c r="AA114" s="476" t="s">
        <v>861</v>
      </c>
      <c r="AB114" s="263" t="s">
        <v>862</v>
      </c>
      <c r="AC114" s="263"/>
      <c r="AD114" s="263"/>
      <c r="AE114" s="263"/>
      <c r="AF114" s="475" t="s">
        <v>863</v>
      </c>
      <c r="AG114" s="476" t="s">
        <v>861</v>
      </c>
      <c r="AH114" s="476" t="s">
        <v>861</v>
      </c>
      <c r="AI114" s="263" t="s">
        <v>862</v>
      </c>
      <c r="AJ114" s="263"/>
      <c r="AK114" s="263"/>
      <c r="AL114" s="263"/>
      <c r="AM114" s="475" t="s">
        <v>863</v>
      </c>
      <c r="AN114" s="476" t="s">
        <v>861</v>
      </c>
      <c r="AO114" s="476" t="s">
        <v>861</v>
      </c>
      <c r="AP114" s="477"/>
      <c r="AW114" s="657"/>
      <c r="AY114" s="468" t="s">
        <v>864</v>
      </c>
      <c r="BP114" s="81"/>
      <c r="BQ114" s="81"/>
      <c r="IJ114" s="431" t="str">
        <f t="shared" si="559"/>
        <v>Ravensbourne</v>
      </c>
      <c r="IK114" s="701" t="str">
        <f t="shared" si="560"/>
        <v xml:space="preserve"> </v>
      </c>
      <c r="IM114" s="457" t="s">
        <v>405</v>
      </c>
      <c r="IN114" s="196" t="str">
        <f t="shared" si="416"/>
        <v xml:space="preserve"> </v>
      </c>
      <c r="IQ114" s="78">
        <f t="shared" si="469"/>
        <v>39</v>
      </c>
      <c r="IR114" s="439" t="str">
        <f t="shared" si="550"/>
        <v xml:space="preserve"> </v>
      </c>
      <c r="IS114" s="280">
        <f t="shared" si="510"/>
        <v>0</v>
      </c>
      <c r="IT114" s="280">
        <f t="shared" si="511"/>
        <v>0</v>
      </c>
      <c r="IU114" s="280">
        <f t="shared" si="512"/>
        <v>0</v>
      </c>
      <c r="IV114" s="280">
        <f t="shared" si="513"/>
        <v>0</v>
      </c>
      <c r="IW114" s="280">
        <f t="shared" si="514"/>
        <v>0</v>
      </c>
      <c r="IX114" s="280">
        <f t="shared" si="515"/>
        <v>0</v>
      </c>
      <c r="IY114" s="280">
        <f t="shared" si="516"/>
        <v>0</v>
      </c>
      <c r="IZ114" s="280">
        <f t="shared" si="517"/>
        <v>0</v>
      </c>
      <c r="JA114" s="280">
        <f t="shared" si="518"/>
        <v>0</v>
      </c>
      <c r="JB114" s="280">
        <f t="shared" si="519"/>
        <v>0</v>
      </c>
      <c r="JC114" s="280">
        <f t="shared" si="520"/>
        <v>0</v>
      </c>
      <c r="JD114" s="280">
        <f t="shared" si="521"/>
        <v>0</v>
      </c>
      <c r="JE114" s="280">
        <f t="shared" si="522"/>
        <v>0</v>
      </c>
      <c r="JF114" s="280">
        <f t="shared" si="523"/>
        <v>0</v>
      </c>
      <c r="JG114" s="280">
        <f t="shared" si="524"/>
        <v>0</v>
      </c>
      <c r="JH114" s="280">
        <f t="shared" si="525"/>
        <v>0</v>
      </c>
      <c r="JI114" s="280">
        <f t="shared" si="526"/>
        <v>0</v>
      </c>
      <c r="JJ114" s="280">
        <f t="shared" si="527"/>
        <v>0</v>
      </c>
      <c r="JK114" s="280">
        <f t="shared" si="528"/>
        <v>0</v>
      </c>
      <c r="JL114" s="280">
        <f t="shared" si="529"/>
        <v>0</v>
      </c>
      <c r="JM114" s="280">
        <f t="shared" si="530"/>
        <v>0</v>
      </c>
      <c r="JN114" s="280">
        <f t="shared" si="531"/>
        <v>0</v>
      </c>
      <c r="JO114" s="280">
        <f t="shared" si="532"/>
        <v>0</v>
      </c>
      <c r="JP114" s="280">
        <f t="shared" si="533"/>
        <v>0</v>
      </c>
      <c r="JQ114" s="280">
        <f t="shared" si="534"/>
        <v>0</v>
      </c>
      <c r="JR114" s="280">
        <f t="shared" si="535"/>
        <v>0</v>
      </c>
      <c r="JS114" s="44">
        <f t="shared" si="461"/>
        <v>0</v>
      </c>
      <c r="JT114" s="343" t="e">
        <f t="shared" si="462"/>
        <v>#N/A</v>
      </c>
      <c r="JU114" s="431" t="s">
        <v>405</v>
      </c>
      <c r="JV114" s="280">
        <f t="shared" si="536"/>
        <v>0</v>
      </c>
      <c r="JW114" s="280">
        <f t="shared" si="537"/>
        <v>0</v>
      </c>
      <c r="JX114" s="280">
        <f t="shared" si="538"/>
        <v>0</v>
      </c>
      <c r="JY114" s="280">
        <f t="shared" si="539"/>
        <v>0</v>
      </c>
      <c r="JZ114" s="280">
        <f t="shared" si="540"/>
        <v>0</v>
      </c>
      <c r="KA114" s="280">
        <f t="shared" si="541"/>
        <v>0</v>
      </c>
      <c r="KB114" s="44">
        <f t="shared" si="463"/>
        <v>0</v>
      </c>
      <c r="KC114" s="343" t="e">
        <f t="shared" si="464"/>
        <v>#N/A</v>
      </c>
      <c r="KE114" s="280">
        <f t="shared" si="542"/>
        <v>0</v>
      </c>
      <c r="KF114" s="280">
        <f t="shared" si="543"/>
        <v>0</v>
      </c>
      <c r="KG114" s="280">
        <f t="shared" si="544"/>
        <v>0</v>
      </c>
      <c r="KH114" s="78">
        <f t="shared" si="465"/>
        <v>0</v>
      </c>
      <c r="KI114" s="592" t="str">
        <f t="shared" si="466"/>
        <v xml:space="preserve"> </v>
      </c>
      <c r="KJ114" s="280">
        <f t="shared" si="545"/>
        <v>0</v>
      </c>
      <c r="KK114" s="280">
        <f t="shared" si="546"/>
        <v>0</v>
      </c>
      <c r="KL114" s="280">
        <f t="shared" si="547"/>
        <v>0</v>
      </c>
      <c r="KM114" s="78">
        <f t="shared" si="467"/>
        <v>0</v>
      </c>
      <c r="KN114" s="458">
        <f t="shared" si="468"/>
        <v>0</v>
      </c>
    </row>
    <row r="115" spans="19:300" ht="15" hidden="1" customHeight="1" x14ac:dyDescent="0.25">
      <c r="S115" s="81"/>
      <c r="T115" s="81"/>
      <c r="U115" s="60"/>
      <c r="V115" s="60"/>
      <c r="W115" s="478" t="str">
        <f t="shared" ref="W115:W127" si="569">IF(AA115=1,CONCATENATE("Module ",X115),"")</f>
        <v/>
      </c>
      <c r="X115" s="355">
        <f>AA115</f>
        <v>0</v>
      </c>
      <c r="Y115" s="355">
        <f t="shared" ref="Y115:Y126" si="570">IF(X35&gt;4,1,0)</f>
        <v>0</v>
      </c>
      <c r="Z115" s="355">
        <f t="shared" ref="Z115:Z126" si="571">COUNT(Y35)</f>
        <v>0</v>
      </c>
      <c r="AA115" s="440">
        <f>IF(Z115+Y115=2,1,0)</f>
        <v>0</v>
      </c>
      <c r="AB115" s="479" t="str">
        <f t="shared" ref="AB115:AB126" si="572">IF(AH115=1,CONCATENATE("Module ",AE115),"")</f>
        <v/>
      </c>
      <c r="AC115" s="479"/>
      <c r="AD115" s="479"/>
      <c r="AE115" s="355">
        <f>X126+AH115</f>
        <v>0</v>
      </c>
      <c r="AF115" s="355">
        <f>IF(AE35&gt;4,1,0)</f>
        <v>0</v>
      </c>
      <c r="AG115" s="355">
        <f>COUNT(AF35)</f>
        <v>0</v>
      </c>
      <c r="AH115" s="440">
        <f>IF(AG115+AF115=2,1,0)</f>
        <v>0</v>
      </c>
      <c r="AI115" s="479" t="str">
        <f t="shared" ref="AI115:AI126" si="573">IF(AO115=1,CONCATENATE("Module ",AL115),"")</f>
        <v/>
      </c>
      <c r="AJ115" s="479"/>
      <c r="AK115" s="479"/>
      <c r="AL115" s="355">
        <f>AE126+AO115</f>
        <v>0</v>
      </c>
      <c r="AM115" s="355">
        <f>IF(AL35&gt;4,1,0)</f>
        <v>0</v>
      </c>
      <c r="AN115" s="355">
        <f>COUNT(AM35)</f>
        <v>0</v>
      </c>
      <c r="AO115" s="440">
        <f>IF(AN115+AM115=2,1,0)</f>
        <v>0</v>
      </c>
      <c r="AP115" s="477"/>
      <c r="AW115" s="657"/>
      <c r="AX115" s="78">
        <f t="shared" ref="AX115:AX126" si="574">BK35+BJ35</f>
        <v>0</v>
      </c>
      <c r="AY115" s="469" t="str">
        <f t="shared" ref="AY115:AY126" si="575">IF(AX115=2,W115,IF(AX115=1,$AY$114,IF(AX115=0,W115)))</f>
        <v/>
      </c>
      <c r="AZ115" s="480">
        <f t="shared" ref="AZ115:AZ117" si="576">(BJ49+BK49)</f>
        <v>0</v>
      </c>
      <c r="BA115" s="469" t="str">
        <f t="shared" ref="BA115:BA126" si="577">IF(AZ115=2,AB115,IF(AZ115=1,$AY$114,IF(AZ115=0,AB115)))</f>
        <v/>
      </c>
      <c r="BB115" s="481">
        <f t="shared" ref="BB115:BB126" si="578">BK63+BJ63</f>
        <v>0</v>
      </c>
      <c r="BC115" s="469" t="str">
        <f t="shared" ref="BC115:BC126" si="579">IF(BB115=2,AI115,IF(BB115=1,$AY$114,IF(BB115=0,AI115)))</f>
        <v/>
      </c>
      <c r="BP115" s="81"/>
      <c r="BQ115" s="81"/>
      <c r="IJ115" s="704" t="str">
        <f t="shared" si="559"/>
        <v>Bedfordshire</v>
      </c>
      <c r="IK115" s="701" t="str">
        <f t="shared" si="560"/>
        <v xml:space="preserve"> </v>
      </c>
      <c r="IM115" s="703" t="s">
        <v>414</v>
      </c>
      <c r="IN115" s="196" t="str">
        <f t="shared" si="416"/>
        <v xml:space="preserve"> </v>
      </c>
      <c r="IQ115" s="78">
        <f t="shared" si="469"/>
        <v>40</v>
      </c>
      <c r="IR115" s="439" t="str">
        <f>AI96</f>
        <v xml:space="preserve"> </v>
      </c>
      <c r="IS115" s="280">
        <f t="shared" si="510"/>
        <v>0</v>
      </c>
      <c r="IT115" s="280">
        <f t="shared" si="511"/>
        <v>0</v>
      </c>
      <c r="IU115" s="280">
        <f t="shared" si="512"/>
        <v>0</v>
      </c>
      <c r="IV115" s="280">
        <f t="shared" si="513"/>
        <v>0</v>
      </c>
      <c r="IW115" s="280">
        <f t="shared" si="514"/>
        <v>0</v>
      </c>
      <c r="IX115" s="280">
        <f t="shared" si="515"/>
        <v>0</v>
      </c>
      <c r="IY115" s="280">
        <f t="shared" si="516"/>
        <v>0</v>
      </c>
      <c r="IZ115" s="280">
        <f t="shared" si="517"/>
        <v>0</v>
      </c>
      <c r="JA115" s="280">
        <f t="shared" si="518"/>
        <v>0</v>
      </c>
      <c r="JB115" s="280">
        <f t="shared" si="519"/>
        <v>0</v>
      </c>
      <c r="JC115" s="280">
        <f t="shared" si="520"/>
        <v>0</v>
      </c>
      <c r="JD115" s="280">
        <f t="shared" si="521"/>
        <v>0</v>
      </c>
      <c r="JE115" s="280">
        <f t="shared" si="522"/>
        <v>0</v>
      </c>
      <c r="JF115" s="280">
        <f t="shared" si="523"/>
        <v>0</v>
      </c>
      <c r="JG115" s="280">
        <f t="shared" si="524"/>
        <v>0</v>
      </c>
      <c r="JH115" s="280">
        <f t="shared" si="525"/>
        <v>0</v>
      </c>
      <c r="JI115" s="280">
        <f t="shared" si="526"/>
        <v>0</v>
      </c>
      <c r="JJ115" s="280">
        <f t="shared" si="527"/>
        <v>0</v>
      </c>
      <c r="JK115" s="280">
        <f t="shared" si="528"/>
        <v>0</v>
      </c>
      <c r="JL115" s="280">
        <f t="shared" si="529"/>
        <v>0</v>
      </c>
      <c r="JM115" s="280">
        <f t="shared" si="530"/>
        <v>0</v>
      </c>
      <c r="JN115" s="280">
        <f t="shared" si="531"/>
        <v>0</v>
      </c>
      <c r="JO115" s="280">
        <f t="shared" si="532"/>
        <v>0</v>
      </c>
      <c r="JP115" s="280">
        <f t="shared" si="533"/>
        <v>0</v>
      </c>
      <c r="JQ115" s="280">
        <f t="shared" si="534"/>
        <v>0</v>
      </c>
      <c r="JR115" s="280">
        <f t="shared" si="535"/>
        <v>0</v>
      </c>
      <c r="JS115" s="44">
        <f t="shared" si="461"/>
        <v>0</v>
      </c>
      <c r="JT115" s="343" t="e">
        <f t="shared" si="462"/>
        <v>#N/A</v>
      </c>
      <c r="JU115" s="704" t="s">
        <v>970</v>
      </c>
      <c r="JV115" s="280">
        <f t="shared" si="536"/>
        <v>0</v>
      </c>
      <c r="JW115" s="280">
        <f t="shared" si="537"/>
        <v>0</v>
      </c>
      <c r="JX115" s="280">
        <f t="shared" si="538"/>
        <v>0</v>
      </c>
      <c r="JY115" s="280">
        <f t="shared" si="539"/>
        <v>0</v>
      </c>
      <c r="JZ115" s="280">
        <f t="shared" si="540"/>
        <v>0</v>
      </c>
      <c r="KA115" s="280">
        <f t="shared" si="541"/>
        <v>0</v>
      </c>
      <c r="KB115" s="44">
        <f t="shared" si="463"/>
        <v>0</v>
      </c>
      <c r="KC115" s="343" t="e">
        <f t="shared" si="464"/>
        <v>#N/A</v>
      </c>
      <c r="KE115" s="280">
        <f t="shared" si="542"/>
        <v>0</v>
      </c>
      <c r="KF115" s="280">
        <f t="shared" si="543"/>
        <v>0</v>
      </c>
      <c r="KG115" s="280">
        <f t="shared" si="544"/>
        <v>0</v>
      </c>
      <c r="KH115" s="78">
        <f t="shared" si="465"/>
        <v>0</v>
      </c>
      <c r="KI115" s="592" t="str">
        <f t="shared" si="466"/>
        <v xml:space="preserve"> </v>
      </c>
      <c r="KJ115" s="280">
        <f t="shared" si="545"/>
        <v>0</v>
      </c>
      <c r="KK115" s="280">
        <f t="shared" si="546"/>
        <v>0</v>
      </c>
      <c r="KL115" s="280">
        <f t="shared" si="547"/>
        <v>0</v>
      </c>
      <c r="KM115" s="78">
        <f t="shared" si="467"/>
        <v>0</v>
      </c>
      <c r="KN115" s="458">
        <f t="shared" si="468"/>
        <v>0</v>
      </c>
    </row>
    <row r="116" spans="19:300" ht="15" hidden="1" customHeight="1" x14ac:dyDescent="0.25">
      <c r="S116" s="81"/>
      <c r="T116" s="81"/>
      <c r="U116" s="60"/>
      <c r="V116" s="60"/>
      <c r="W116" s="478" t="str">
        <f t="shared" si="569"/>
        <v/>
      </c>
      <c r="X116" s="355">
        <f>X115+AA116</f>
        <v>0</v>
      </c>
      <c r="Y116" s="355">
        <f t="shared" si="570"/>
        <v>0</v>
      </c>
      <c r="Z116" s="355">
        <f t="shared" si="571"/>
        <v>0</v>
      </c>
      <c r="AA116" s="440">
        <f t="shared" ref="AA116:AA126" si="580">IF(Z116+Y116=2,1,0)</f>
        <v>0</v>
      </c>
      <c r="AB116" s="479" t="str">
        <f t="shared" si="572"/>
        <v/>
      </c>
      <c r="AC116" s="479"/>
      <c r="AD116" s="479"/>
      <c r="AE116" s="355">
        <f>AE115+AH116</f>
        <v>0</v>
      </c>
      <c r="AF116" s="355">
        <f t="shared" ref="AF116:AF126" si="581">IF(AE36&gt;4,1,0)</f>
        <v>0</v>
      </c>
      <c r="AG116" s="355">
        <f t="shared" ref="AG116:AG126" si="582">COUNT(AF36)</f>
        <v>0</v>
      </c>
      <c r="AH116" s="440">
        <f t="shared" ref="AH116:AH126" si="583">IF(AG116+AF116=2,1,0)</f>
        <v>0</v>
      </c>
      <c r="AI116" s="479" t="str">
        <f t="shared" si="573"/>
        <v/>
      </c>
      <c r="AJ116" s="479"/>
      <c r="AK116" s="479"/>
      <c r="AL116" s="355">
        <f>AL115+AO116</f>
        <v>0</v>
      </c>
      <c r="AM116" s="355">
        <f t="shared" ref="AM116:AM126" si="584">IF(AL36&gt;4,1,0)</f>
        <v>0</v>
      </c>
      <c r="AN116" s="355">
        <f t="shared" ref="AN116:AN126" si="585">COUNT(AM36)</f>
        <v>0</v>
      </c>
      <c r="AO116" s="440">
        <f t="shared" ref="AO116:AO126" si="586">IF(AN116+AM116=2,1,0)</f>
        <v>0</v>
      </c>
      <c r="AP116" s="477"/>
      <c r="AW116" s="657"/>
      <c r="AX116" s="78">
        <f t="shared" si="574"/>
        <v>0</v>
      </c>
      <c r="AY116" s="469" t="str">
        <f t="shared" si="575"/>
        <v/>
      </c>
      <c r="AZ116" s="480">
        <f t="shared" si="576"/>
        <v>0</v>
      </c>
      <c r="BA116" s="469" t="str">
        <f t="shared" si="577"/>
        <v/>
      </c>
      <c r="BB116" s="481">
        <f t="shared" si="578"/>
        <v>0</v>
      </c>
      <c r="BC116" s="469" t="str">
        <f t="shared" si="579"/>
        <v/>
      </c>
      <c r="BP116" s="81"/>
      <c r="BQ116" s="81"/>
      <c r="IJ116" s="704" t="str">
        <f t="shared" si="559"/>
        <v>Coventry</v>
      </c>
      <c r="IK116" s="701" t="str">
        <f t="shared" si="560"/>
        <v xml:space="preserve"> </v>
      </c>
      <c r="IM116" s="704" t="s">
        <v>447</v>
      </c>
      <c r="IN116" s="196" t="str">
        <f t="shared" si="416"/>
        <v xml:space="preserve"> </v>
      </c>
      <c r="IQ116" s="78">
        <f t="shared" si="469"/>
        <v>41</v>
      </c>
      <c r="IR116" s="439" t="str">
        <f>AI97</f>
        <v xml:space="preserve"> </v>
      </c>
      <c r="IS116" s="280">
        <f t="shared" si="510"/>
        <v>0</v>
      </c>
      <c r="IT116" s="280">
        <f t="shared" si="511"/>
        <v>0</v>
      </c>
      <c r="IU116" s="280">
        <f t="shared" si="512"/>
        <v>0</v>
      </c>
      <c r="IV116" s="280">
        <f t="shared" si="513"/>
        <v>0</v>
      </c>
      <c r="IW116" s="280">
        <f t="shared" si="514"/>
        <v>0</v>
      </c>
      <c r="IX116" s="280">
        <f t="shared" si="515"/>
        <v>0</v>
      </c>
      <c r="IY116" s="280">
        <f t="shared" si="516"/>
        <v>0</v>
      </c>
      <c r="IZ116" s="280">
        <f t="shared" si="517"/>
        <v>0</v>
      </c>
      <c r="JA116" s="280">
        <f t="shared" si="518"/>
        <v>0</v>
      </c>
      <c r="JB116" s="280">
        <f t="shared" si="519"/>
        <v>0</v>
      </c>
      <c r="JC116" s="280">
        <f t="shared" si="520"/>
        <v>0</v>
      </c>
      <c r="JD116" s="280">
        <f t="shared" si="521"/>
        <v>0</v>
      </c>
      <c r="JE116" s="280">
        <f t="shared" si="522"/>
        <v>0</v>
      </c>
      <c r="JF116" s="280">
        <f t="shared" si="523"/>
        <v>0</v>
      </c>
      <c r="JG116" s="280">
        <f t="shared" si="524"/>
        <v>0</v>
      </c>
      <c r="JH116" s="280">
        <f t="shared" si="525"/>
        <v>0</v>
      </c>
      <c r="JI116" s="280">
        <f t="shared" si="526"/>
        <v>0</v>
      </c>
      <c r="JJ116" s="280">
        <f t="shared" si="527"/>
        <v>0</v>
      </c>
      <c r="JK116" s="280">
        <f t="shared" si="528"/>
        <v>0</v>
      </c>
      <c r="JL116" s="280">
        <f t="shared" si="529"/>
        <v>0</v>
      </c>
      <c r="JM116" s="280">
        <f t="shared" si="530"/>
        <v>0</v>
      </c>
      <c r="JN116" s="280">
        <f t="shared" si="531"/>
        <v>0</v>
      </c>
      <c r="JO116" s="280">
        <f t="shared" si="532"/>
        <v>0</v>
      </c>
      <c r="JP116" s="280">
        <f t="shared" si="533"/>
        <v>0</v>
      </c>
      <c r="JQ116" s="280">
        <f t="shared" si="534"/>
        <v>0</v>
      </c>
      <c r="JR116" s="280">
        <f t="shared" si="535"/>
        <v>0</v>
      </c>
      <c r="JS116" s="44">
        <f t="shared" si="461"/>
        <v>0</v>
      </c>
      <c r="JT116" s="343" t="e">
        <f t="shared" si="462"/>
        <v>#N/A</v>
      </c>
      <c r="JU116" s="704" t="s">
        <v>447</v>
      </c>
      <c r="JV116" s="280">
        <f t="shared" si="536"/>
        <v>0</v>
      </c>
      <c r="JW116" s="280">
        <f t="shared" si="537"/>
        <v>0</v>
      </c>
      <c r="JX116" s="280">
        <f t="shared" si="538"/>
        <v>0</v>
      </c>
      <c r="JY116" s="280">
        <f t="shared" si="539"/>
        <v>0</v>
      </c>
      <c r="JZ116" s="280">
        <f t="shared" si="540"/>
        <v>0</v>
      </c>
      <c r="KA116" s="280">
        <f t="shared" si="541"/>
        <v>0</v>
      </c>
      <c r="KB116" s="44">
        <f t="shared" si="463"/>
        <v>0</v>
      </c>
      <c r="KC116" s="343" t="e">
        <f t="shared" si="464"/>
        <v>#N/A</v>
      </c>
      <c r="KE116" s="280">
        <f t="shared" si="542"/>
        <v>0</v>
      </c>
      <c r="KF116" s="280">
        <f t="shared" si="543"/>
        <v>0</v>
      </c>
      <c r="KG116" s="280">
        <f t="shared" si="544"/>
        <v>0</v>
      </c>
      <c r="KH116" s="78">
        <f t="shared" si="465"/>
        <v>0</v>
      </c>
      <c r="KI116" s="592" t="str">
        <f t="shared" si="466"/>
        <v xml:space="preserve"> </v>
      </c>
      <c r="KJ116" s="280">
        <f t="shared" si="545"/>
        <v>0</v>
      </c>
      <c r="KK116" s="280">
        <f t="shared" si="546"/>
        <v>0</v>
      </c>
      <c r="KL116" s="280">
        <f t="shared" si="547"/>
        <v>0</v>
      </c>
      <c r="KM116" s="78">
        <f t="shared" si="467"/>
        <v>0</v>
      </c>
      <c r="KN116" s="458">
        <f t="shared" si="468"/>
        <v>0</v>
      </c>
    </row>
    <row r="117" spans="19:300" ht="15" hidden="1" customHeight="1" x14ac:dyDescent="0.25">
      <c r="S117" s="81"/>
      <c r="T117" s="81"/>
      <c r="U117" s="60"/>
      <c r="V117" s="60"/>
      <c r="W117" s="478" t="str">
        <f t="shared" si="569"/>
        <v/>
      </c>
      <c r="X117" s="355">
        <f t="shared" ref="X117:X126" si="587">X116+AA117</f>
        <v>0</v>
      </c>
      <c r="Y117" s="355">
        <f t="shared" si="570"/>
        <v>0</v>
      </c>
      <c r="Z117" s="355">
        <f t="shared" si="571"/>
        <v>0</v>
      </c>
      <c r="AA117" s="440">
        <f t="shared" si="580"/>
        <v>0</v>
      </c>
      <c r="AB117" s="479" t="str">
        <f t="shared" si="572"/>
        <v/>
      </c>
      <c r="AC117" s="479"/>
      <c r="AD117" s="479"/>
      <c r="AE117" s="355">
        <f t="shared" ref="AE117:AE126" si="588">AE116+AH117</f>
        <v>0</v>
      </c>
      <c r="AF117" s="355">
        <f t="shared" si="581"/>
        <v>0</v>
      </c>
      <c r="AG117" s="355">
        <f t="shared" si="582"/>
        <v>0</v>
      </c>
      <c r="AH117" s="440">
        <f t="shared" si="583"/>
        <v>0</v>
      </c>
      <c r="AI117" s="479" t="str">
        <f t="shared" si="573"/>
        <v/>
      </c>
      <c r="AJ117" s="479"/>
      <c r="AK117" s="479"/>
      <c r="AL117" s="355">
        <f t="shared" ref="AL117:AL126" si="589">AL116+AO117</f>
        <v>0</v>
      </c>
      <c r="AM117" s="355">
        <f t="shared" si="584"/>
        <v>0</v>
      </c>
      <c r="AN117" s="355">
        <f t="shared" si="585"/>
        <v>0</v>
      </c>
      <c r="AO117" s="440">
        <f t="shared" si="586"/>
        <v>0</v>
      </c>
      <c r="AP117" s="477"/>
      <c r="AW117" s="657"/>
      <c r="AX117" s="78">
        <f t="shared" si="574"/>
        <v>0</v>
      </c>
      <c r="AY117" s="469" t="str">
        <f t="shared" si="575"/>
        <v/>
      </c>
      <c r="AZ117" s="480">
        <f t="shared" si="576"/>
        <v>0</v>
      </c>
      <c r="BA117" s="469" t="str">
        <f t="shared" si="577"/>
        <v/>
      </c>
      <c r="BB117" s="481">
        <f t="shared" si="578"/>
        <v>0</v>
      </c>
      <c r="BC117" s="469" t="str">
        <f t="shared" si="579"/>
        <v/>
      </c>
      <c r="BP117" s="81"/>
      <c r="BQ117" s="81"/>
      <c r="IM117" s="414" t="s">
        <v>952</v>
      </c>
      <c r="IN117" s="196" t="str">
        <f t="shared" si="416"/>
        <v xml:space="preserve"> </v>
      </c>
      <c r="IR117" s="439"/>
      <c r="IS117" s="280"/>
      <c r="IT117" s="280"/>
      <c r="IU117" s="280"/>
      <c r="IV117" s="280"/>
      <c r="IW117" s="280"/>
      <c r="IX117" s="280"/>
      <c r="IY117" s="280"/>
      <c r="IZ117" s="280"/>
      <c r="JA117" s="280"/>
      <c r="JB117" s="280"/>
      <c r="JC117" s="280"/>
      <c r="JD117" s="280"/>
      <c r="JE117" s="280"/>
      <c r="JF117" s="280"/>
      <c r="JG117" s="280"/>
      <c r="JH117" s="280"/>
      <c r="JI117" s="280"/>
      <c r="JJ117" s="280"/>
      <c r="JK117" s="280"/>
      <c r="JL117" s="280"/>
      <c r="JM117" s="280"/>
      <c r="JN117" s="280"/>
      <c r="JO117" s="280"/>
      <c r="JP117" s="280"/>
      <c r="JQ117" s="280"/>
      <c r="JR117" s="280"/>
      <c r="JS117" s="44"/>
      <c r="JT117" s="343"/>
      <c r="JV117" s="280">
        <f>COUNTIF(JV76:JV116,5)</f>
        <v>0</v>
      </c>
      <c r="JW117" s="280">
        <f>COUNTIF(JW76:JW116,5)</f>
        <v>0</v>
      </c>
      <c r="JX117" s="280">
        <f>COUNTIF(JX76:JX116,5)</f>
        <v>0</v>
      </c>
      <c r="JY117" s="280">
        <f>COUNTIF(JY76:JY116,4)</f>
        <v>0</v>
      </c>
      <c r="JZ117" s="280">
        <f>COUNTIF(JZ76:JZ116,5)</f>
        <v>0</v>
      </c>
      <c r="KA117" s="280"/>
      <c r="KB117" s="221" t="s">
        <v>1129</v>
      </c>
      <c r="KC117" s="343"/>
      <c r="KE117" s="280"/>
      <c r="KF117" s="280"/>
      <c r="KG117" s="280"/>
      <c r="KI117" s="592"/>
      <c r="KJ117" s="280"/>
      <c r="KK117" s="280"/>
      <c r="KL117" s="280"/>
      <c r="KM117" s="41" t="s">
        <v>997</v>
      </c>
      <c r="KN117" s="778">
        <f>COUNTIF(KN75:KN115,KM117)</f>
        <v>0</v>
      </c>
    </row>
    <row r="118" spans="19:300" ht="15" hidden="1" customHeight="1" x14ac:dyDescent="0.25">
      <c r="S118" s="81"/>
      <c r="T118" s="81"/>
      <c r="U118" s="60"/>
      <c r="V118" s="60"/>
      <c r="W118" s="478" t="str">
        <f t="shared" si="569"/>
        <v/>
      </c>
      <c r="X118" s="355">
        <f t="shared" si="587"/>
        <v>0</v>
      </c>
      <c r="Y118" s="355">
        <f t="shared" si="570"/>
        <v>0</v>
      </c>
      <c r="Z118" s="355">
        <f t="shared" si="571"/>
        <v>0</v>
      </c>
      <c r="AA118" s="440">
        <f t="shared" si="580"/>
        <v>0</v>
      </c>
      <c r="AB118" s="479" t="str">
        <f t="shared" si="572"/>
        <v/>
      </c>
      <c r="AC118" s="479"/>
      <c r="AD118" s="479"/>
      <c r="AE118" s="355">
        <f t="shared" si="588"/>
        <v>0</v>
      </c>
      <c r="AF118" s="355">
        <f t="shared" si="581"/>
        <v>0</v>
      </c>
      <c r="AG118" s="355">
        <f t="shared" si="582"/>
        <v>0</v>
      </c>
      <c r="AH118" s="440">
        <f t="shared" si="583"/>
        <v>0</v>
      </c>
      <c r="AI118" s="479" t="str">
        <f t="shared" si="573"/>
        <v/>
      </c>
      <c r="AJ118" s="479"/>
      <c r="AK118" s="479"/>
      <c r="AL118" s="355">
        <f t="shared" si="589"/>
        <v>0</v>
      </c>
      <c r="AM118" s="355">
        <f t="shared" si="584"/>
        <v>0</v>
      </c>
      <c r="AN118" s="355">
        <f t="shared" si="585"/>
        <v>0</v>
      </c>
      <c r="AO118" s="440">
        <f t="shared" si="586"/>
        <v>0</v>
      </c>
      <c r="AP118" s="477"/>
      <c r="AW118" s="657"/>
      <c r="AX118" s="78">
        <f t="shared" si="574"/>
        <v>0</v>
      </c>
      <c r="AY118" s="469" t="str">
        <f t="shared" si="575"/>
        <v/>
      </c>
      <c r="AZ118" s="480">
        <f t="shared" ref="AZ118:AZ126" si="590">(BJ52+BK52)</f>
        <v>0</v>
      </c>
      <c r="BA118" s="469" t="str">
        <f t="shared" si="577"/>
        <v/>
      </c>
      <c r="BB118" s="481">
        <f t="shared" si="578"/>
        <v>0</v>
      </c>
      <c r="BC118" s="469" t="str">
        <f t="shared" si="579"/>
        <v/>
      </c>
      <c r="BP118" s="81"/>
      <c r="BQ118" s="81"/>
      <c r="IR118" s="439"/>
      <c r="IS118" s="280"/>
      <c r="IT118" s="280"/>
      <c r="IU118" s="280"/>
      <c r="IV118" s="280"/>
      <c r="IW118" s="280"/>
      <c r="IX118" s="280"/>
      <c r="IY118" s="280"/>
      <c r="IZ118" s="280"/>
      <c r="JA118" s="280"/>
      <c r="JB118" s="280"/>
      <c r="JC118" s="280"/>
      <c r="JD118" s="280"/>
      <c r="JE118" s="280"/>
      <c r="JF118" s="280"/>
      <c r="JG118" s="280"/>
      <c r="JH118" s="280"/>
      <c r="JI118" s="280"/>
      <c r="JJ118" s="280"/>
      <c r="JK118" s="280"/>
      <c r="JL118" s="280"/>
      <c r="JM118" s="280"/>
      <c r="JN118" s="280"/>
      <c r="JO118" s="280"/>
      <c r="JP118" s="280"/>
      <c r="JQ118" s="280"/>
      <c r="JR118" s="280"/>
      <c r="JS118" s="44"/>
      <c r="JT118" s="343"/>
      <c r="JV118" s="280"/>
      <c r="JW118" s="280"/>
      <c r="JX118" s="280"/>
      <c r="JY118" s="280"/>
      <c r="JZ118" s="280"/>
      <c r="KA118" s="280"/>
      <c r="KB118" s="777" t="s">
        <v>781</v>
      </c>
      <c r="KC118" s="778">
        <f>COUNTIF(KC76:KC116,KB118)</f>
        <v>0</v>
      </c>
      <c r="KD118" s="78" t="str">
        <f>IF(KC118&gt;0,KB118," ")</f>
        <v xml:space="preserve"> </v>
      </c>
      <c r="KE118" s="280"/>
      <c r="KF118" s="280"/>
      <c r="KG118" s="280"/>
      <c r="KI118" s="592"/>
      <c r="KJ118" s="280"/>
      <c r="KK118" s="280"/>
      <c r="KL118" s="280"/>
      <c r="KM118" s="78"/>
      <c r="KN118" s="458"/>
    </row>
    <row r="119" spans="19:300" ht="15" hidden="1" customHeight="1" x14ac:dyDescent="0.25">
      <c r="S119" s="81"/>
      <c r="T119" s="81"/>
      <c r="U119" s="60"/>
      <c r="V119" s="60"/>
      <c r="W119" s="478" t="str">
        <f t="shared" si="569"/>
        <v/>
      </c>
      <c r="X119" s="355">
        <f t="shared" si="587"/>
        <v>0</v>
      </c>
      <c r="Y119" s="355">
        <f t="shared" si="570"/>
        <v>0</v>
      </c>
      <c r="Z119" s="355">
        <f t="shared" si="571"/>
        <v>0</v>
      </c>
      <c r="AA119" s="440">
        <f t="shared" si="580"/>
        <v>0</v>
      </c>
      <c r="AB119" s="479" t="str">
        <f t="shared" si="572"/>
        <v/>
      </c>
      <c r="AC119" s="479"/>
      <c r="AD119" s="479"/>
      <c r="AE119" s="355">
        <f t="shared" si="588"/>
        <v>0</v>
      </c>
      <c r="AF119" s="355">
        <f t="shared" si="581"/>
        <v>0</v>
      </c>
      <c r="AG119" s="355">
        <f t="shared" si="582"/>
        <v>0</v>
      </c>
      <c r="AH119" s="440">
        <f t="shared" si="583"/>
        <v>0</v>
      </c>
      <c r="AI119" s="479" t="str">
        <f t="shared" si="573"/>
        <v/>
      </c>
      <c r="AJ119" s="479"/>
      <c r="AK119" s="479"/>
      <c r="AL119" s="355">
        <f t="shared" si="589"/>
        <v>0</v>
      </c>
      <c r="AM119" s="355">
        <f t="shared" si="584"/>
        <v>0</v>
      </c>
      <c r="AN119" s="355">
        <f t="shared" si="585"/>
        <v>0</v>
      </c>
      <c r="AO119" s="440">
        <f t="shared" si="586"/>
        <v>0</v>
      </c>
      <c r="AP119" s="477"/>
      <c r="AW119" s="657"/>
      <c r="AX119" s="78">
        <f t="shared" si="574"/>
        <v>0</v>
      </c>
      <c r="AY119" s="469" t="str">
        <f t="shared" si="575"/>
        <v/>
      </c>
      <c r="AZ119" s="480">
        <f t="shared" si="590"/>
        <v>0</v>
      </c>
      <c r="BA119" s="469" t="str">
        <f t="shared" si="577"/>
        <v/>
      </c>
      <c r="BB119" s="481">
        <f t="shared" si="578"/>
        <v>0</v>
      </c>
      <c r="BC119" s="469" t="str">
        <f t="shared" si="579"/>
        <v/>
      </c>
      <c r="BP119" s="81"/>
      <c r="BQ119" s="81"/>
      <c r="IN119" s="782" t="str">
        <f>IF($IN$74=6,KB117," ")</f>
        <v xml:space="preserve"> </v>
      </c>
      <c r="IO119" s="611"/>
      <c r="IR119" s="439"/>
      <c r="IS119" s="280"/>
      <c r="IT119" s="280"/>
      <c r="IU119" s="280"/>
      <c r="IV119" s="280"/>
      <c r="IW119" s="280"/>
      <c r="IX119" s="280"/>
      <c r="IY119" s="280"/>
      <c r="IZ119" s="280"/>
      <c r="JA119" s="280"/>
      <c r="JB119" s="280"/>
      <c r="JC119" s="280"/>
      <c r="JD119" s="280"/>
      <c r="JE119" s="280"/>
      <c r="JF119" s="280"/>
      <c r="JG119" s="280"/>
      <c r="JH119" s="280"/>
      <c r="JI119" s="280"/>
      <c r="JJ119" s="280"/>
      <c r="JK119" s="280"/>
      <c r="JL119" s="280"/>
      <c r="JM119" s="280"/>
      <c r="JN119" s="280"/>
      <c r="JO119" s="280"/>
      <c r="JP119" s="280"/>
      <c r="JQ119" s="280"/>
      <c r="JR119" s="280"/>
      <c r="JS119" s="44"/>
      <c r="JT119" s="343"/>
      <c r="JV119" s="280"/>
      <c r="JW119" s="280"/>
      <c r="JX119" s="280"/>
      <c r="JY119" s="280"/>
      <c r="JZ119" s="280"/>
      <c r="KA119" s="280"/>
      <c r="KB119" s="779" t="s">
        <v>803</v>
      </c>
      <c r="KC119" s="778">
        <f>COUNTIF(KC76:KC116,KB119)</f>
        <v>0</v>
      </c>
      <c r="KD119" s="78" t="str">
        <f t="shared" ref="KD119:KD121" si="591">IF(KC119&gt;0,KB119," ")</f>
        <v xml:space="preserve"> </v>
      </c>
      <c r="KE119" s="280"/>
      <c r="KF119" s="280"/>
      <c r="KG119" s="280"/>
      <c r="KI119" s="592"/>
      <c r="KJ119" s="280"/>
      <c r="KK119" s="280"/>
      <c r="KL119" s="280"/>
      <c r="KM119" s="78"/>
      <c r="KN119" s="458"/>
    </row>
    <row r="120" spans="19:300" ht="15" hidden="1" customHeight="1" x14ac:dyDescent="0.25">
      <c r="S120" s="81"/>
      <c r="T120" s="81"/>
      <c r="U120" s="60"/>
      <c r="V120" s="60"/>
      <c r="W120" s="478" t="str">
        <f t="shared" si="569"/>
        <v/>
      </c>
      <c r="X120" s="355">
        <f t="shared" si="587"/>
        <v>0</v>
      </c>
      <c r="Y120" s="355">
        <f t="shared" si="570"/>
        <v>0</v>
      </c>
      <c r="Z120" s="355">
        <f t="shared" si="571"/>
        <v>0</v>
      </c>
      <c r="AA120" s="440">
        <f t="shared" si="580"/>
        <v>0</v>
      </c>
      <c r="AB120" s="479" t="str">
        <f t="shared" si="572"/>
        <v/>
      </c>
      <c r="AC120" s="479"/>
      <c r="AD120" s="479"/>
      <c r="AE120" s="355">
        <f t="shared" si="588"/>
        <v>0</v>
      </c>
      <c r="AF120" s="355">
        <f t="shared" si="581"/>
        <v>0</v>
      </c>
      <c r="AG120" s="355">
        <f t="shared" si="582"/>
        <v>0</v>
      </c>
      <c r="AH120" s="440">
        <f t="shared" si="583"/>
        <v>0</v>
      </c>
      <c r="AI120" s="479" t="str">
        <f t="shared" si="573"/>
        <v/>
      </c>
      <c r="AJ120" s="479"/>
      <c r="AK120" s="479"/>
      <c r="AL120" s="355">
        <f t="shared" si="589"/>
        <v>0</v>
      </c>
      <c r="AM120" s="355">
        <f t="shared" si="584"/>
        <v>0</v>
      </c>
      <c r="AN120" s="355">
        <f t="shared" si="585"/>
        <v>0</v>
      </c>
      <c r="AO120" s="440">
        <f t="shared" si="586"/>
        <v>0</v>
      </c>
      <c r="AP120" s="477"/>
      <c r="AW120" s="657"/>
      <c r="AX120" s="78">
        <f t="shared" si="574"/>
        <v>0</v>
      </c>
      <c r="AY120" s="469" t="str">
        <f t="shared" si="575"/>
        <v/>
      </c>
      <c r="AZ120" s="480">
        <f t="shared" si="590"/>
        <v>0</v>
      </c>
      <c r="BA120" s="469" t="str">
        <f t="shared" si="577"/>
        <v/>
      </c>
      <c r="BB120" s="481">
        <f t="shared" si="578"/>
        <v>0</v>
      </c>
      <c r="BC120" s="469" t="str">
        <f t="shared" si="579"/>
        <v/>
      </c>
      <c r="IN120" s="781" t="str">
        <f t="shared" ref="IN120:IO123" si="592">IF($IN$74=6,KB118," ")</f>
        <v xml:space="preserve"> </v>
      </c>
      <c r="IO120" s="196" t="str">
        <f>IF($IN$74=6,KC118," ")</f>
        <v xml:space="preserve"> </v>
      </c>
      <c r="KB120" s="780" t="s">
        <v>802</v>
      </c>
      <c r="KC120" s="778">
        <f>COUNTIF(KC76:KC116,KB120)</f>
        <v>0</v>
      </c>
      <c r="KD120" s="78" t="str">
        <f t="shared" si="591"/>
        <v xml:space="preserve"> </v>
      </c>
    </row>
    <row r="121" spans="19:300" ht="15" hidden="1" customHeight="1" x14ac:dyDescent="0.25">
      <c r="S121" s="81"/>
      <c r="T121" s="81"/>
      <c r="U121" s="60"/>
      <c r="V121" s="60"/>
      <c r="W121" s="478" t="str">
        <f t="shared" si="569"/>
        <v/>
      </c>
      <c r="X121" s="355">
        <f t="shared" si="587"/>
        <v>0</v>
      </c>
      <c r="Y121" s="355">
        <f t="shared" si="570"/>
        <v>0</v>
      </c>
      <c r="Z121" s="355">
        <f t="shared" si="571"/>
        <v>0</v>
      </c>
      <c r="AA121" s="440">
        <f>IF(Z121+Y121=2,1,0)</f>
        <v>0</v>
      </c>
      <c r="AB121" s="479" t="str">
        <f t="shared" si="572"/>
        <v/>
      </c>
      <c r="AC121" s="479"/>
      <c r="AD121" s="479"/>
      <c r="AE121" s="355">
        <f t="shared" si="588"/>
        <v>0</v>
      </c>
      <c r="AF121" s="355">
        <f t="shared" si="581"/>
        <v>0</v>
      </c>
      <c r="AG121" s="355">
        <f t="shared" si="582"/>
        <v>0</v>
      </c>
      <c r="AH121" s="440">
        <f t="shared" si="583"/>
        <v>0</v>
      </c>
      <c r="AI121" s="479" t="str">
        <f t="shared" si="573"/>
        <v/>
      </c>
      <c r="AJ121" s="479"/>
      <c r="AK121" s="479"/>
      <c r="AL121" s="355">
        <f t="shared" si="589"/>
        <v>0</v>
      </c>
      <c r="AM121" s="355">
        <f t="shared" si="584"/>
        <v>0</v>
      </c>
      <c r="AN121" s="355">
        <f t="shared" si="585"/>
        <v>0</v>
      </c>
      <c r="AO121" s="440">
        <f t="shared" si="586"/>
        <v>0</v>
      </c>
      <c r="AP121" s="477"/>
      <c r="AW121" s="657"/>
      <c r="AX121" s="78">
        <f t="shared" si="574"/>
        <v>0</v>
      </c>
      <c r="AY121" s="469" t="str">
        <f t="shared" si="575"/>
        <v/>
      </c>
      <c r="AZ121" s="480">
        <f t="shared" si="590"/>
        <v>0</v>
      </c>
      <c r="BA121" s="469" t="str">
        <f t="shared" si="577"/>
        <v/>
      </c>
      <c r="BB121" s="481">
        <f t="shared" si="578"/>
        <v>0</v>
      </c>
      <c r="BC121" s="469" t="str">
        <f t="shared" si="579"/>
        <v/>
      </c>
      <c r="IN121" s="781" t="str">
        <f t="shared" si="592"/>
        <v xml:space="preserve"> </v>
      </c>
      <c r="IO121" s="196" t="str">
        <f t="shared" si="592"/>
        <v xml:space="preserve"> </v>
      </c>
      <c r="KB121" s="780" t="s">
        <v>801</v>
      </c>
      <c r="KC121" s="778">
        <f>COUNTIF(KC77:KC118,KB121)</f>
        <v>0</v>
      </c>
      <c r="KD121" s="78" t="str">
        <f t="shared" si="591"/>
        <v xml:space="preserve"> </v>
      </c>
    </row>
    <row r="122" spans="19:300" ht="15" hidden="1" customHeight="1" x14ac:dyDescent="0.25">
      <c r="S122" s="81"/>
      <c r="T122" s="81"/>
      <c r="U122" s="60"/>
      <c r="V122" s="60"/>
      <c r="W122" s="478" t="str">
        <f t="shared" si="569"/>
        <v/>
      </c>
      <c r="X122" s="355">
        <f t="shared" si="587"/>
        <v>0</v>
      </c>
      <c r="Y122" s="355">
        <f t="shared" si="570"/>
        <v>0</v>
      </c>
      <c r="Z122" s="355">
        <f t="shared" si="571"/>
        <v>0</v>
      </c>
      <c r="AA122" s="440">
        <f t="shared" si="580"/>
        <v>0</v>
      </c>
      <c r="AB122" s="479" t="str">
        <f t="shared" si="572"/>
        <v/>
      </c>
      <c r="AC122" s="479"/>
      <c r="AD122" s="479"/>
      <c r="AE122" s="355">
        <f t="shared" si="588"/>
        <v>0</v>
      </c>
      <c r="AF122" s="355">
        <f t="shared" si="581"/>
        <v>0</v>
      </c>
      <c r="AG122" s="355">
        <f t="shared" si="582"/>
        <v>0</v>
      </c>
      <c r="AH122" s="440">
        <f t="shared" si="583"/>
        <v>0</v>
      </c>
      <c r="AI122" s="479" t="str">
        <f t="shared" si="573"/>
        <v/>
      </c>
      <c r="AJ122" s="479"/>
      <c r="AK122" s="479"/>
      <c r="AL122" s="355">
        <f t="shared" si="589"/>
        <v>0</v>
      </c>
      <c r="AM122" s="355">
        <f t="shared" si="584"/>
        <v>0</v>
      </c>
      <c r="AN122" s="355">
        <f t="shared" si="585"/>
        <v>0</v>
      </c>
      <c r="AO122" s="440">
        <f t="shared" si="586"/>
        <v>0</v>
      </c>
      <c r="AP122" s="477"/>
      <c r="AW122" s="657"/>
      <c r="AX122" s="78">
        <f t="shared" si="574"/>
        <v>0</v>
      </c>
      <c r="AY122" s="469" t="str">
        <f t="shared" si="575"/>
        <v/>
      </c>
      <c r="AZ122" s="480">
        <f t="shared" si="590"/>
        <v>0</v>
      </c>
      <c r="BA122" s="469" t="str">
        <f t="shared" si="577"/>
        <v/>
      </c>
      <c r="BB122" s="481">
        <f t="shared" si="578"/>
        <v>0</v>
      </c>
      <c r="BC122" s="469" t="str">
        <f t="shared" si="579"/>
        <v/>
      </c>
      <c r="IN122" s="781" t="str">
        <f t="shared" si="592"/>
        <v xml:space="preserve"> </v>
      </c>
      <c r="IO122" s="196" t="str">
        <f t="shared" si="592"/>
        <v xml:space="preserve"> </v>
      </c>
    </row>
    <row r="123" spans="19:300" ht="15" hidden="1" customHeight="1" x14ac:dyDescent="0.25">
      <c r="S123" s="81"/>
      <c r="T123" s="81"/>
      <c r="U123" s="60"/>
      <c r="V123" s="60"/>
      <c r="W123" s="478" t="str">
        <f t="shared" si="569"/>
        <v/>
      </c>
      <c r="X123" s="355">
        <f t="shared" si="587"/>
        <v>0</v>
      </c>
      <c r="Y123" s="355">
        <f t="shared" si="570"/>
        <v>0</v>
      </c>
      <c r="Z123" s="355">
        <f t="shared" si="571"/>
        <v>0</v>
      </c>
      <c r="AA123" s="440">
        <f t="shared" si="580"/>
        <v>0</v>
      </c>
      <c r="AB123" s="479" t="str">
        <f t="shared" si="572"/>
        <v/>
      </c>
      <c r="AC123" s="479"/>
      <c r="AD123" s="479"/>
      <c r="AE123" s="355">
        <f t="shared" si="588"/>
        <v>0</v>
      </c>
      <c r="AF123" s="355">
        <f t="shared" si="581"/>
        <v>0</v>
      </c>
      <c r="AG123" s="355">
        <f t="shared" si="582"/>
        <v>0</v>
      </c>
      <c r="AH123" s="440">
        <f t="shared" si="583"/>
        <v>0</v>
      </c>
      <c r="AI123" s="479" t="str">
        <f t="shared" si="573"/>
        <v/>
      </c>
      <c r="AJ123" s="479"/>
      <c r="AK123" s="479"/>
      <c r="AL123" s="355">
        <f t="shared" si="589"/>
        <v>0</v>
      </c>
      <c r="AM123" s="355">
        <f t="shared" si="584"/>
        <v>0</v>
      </c>
      <c r="AN123" s="355">
        <f t="shared" si="585"/>
        <v>0</v>
      </c>
      <c r="AO123" s="440">
        <f t="shared" si="586"/>
        <v>0</v>
      </c>
      <c r="AP123" s="477"/>
      <c r="AW123" s="657"/>
      <c r="AX123" s="78">
        <f t="shared" si="574"/>
        <v>0</v>
      </c>
      <c r="AY123" s="469" t="str">
        <f t="shared" si="575"/>
        <v/>
      </c>
      <c r="AZ123" s="480">
        <f t="shared" si="590"/>
        <v>0</v>
      </c>
      <c r="BA123" s="469" t="str">
        <f t="shared" si="577"/>
        <v/>
      </c>
      <c r="BB123" s="481">
        <f t="shared" si="578"/>
        <v>0</v>
      </c>
      <c r="BC123" s="469" t="str">
        <f t="shared" si="579"/>
        <v/>
      </c>
      <c r="IN123" s="781" t="str">
        <f t="shared" si="592"/>
        <v xml:space="preserve"> </v>
      </c>
      <c r="IO123" s="196" t="str">
        <f>IF($IN$74=6,KC121," ")</f>
        <v xml:space="preserve"> </v>
      </c>
    </row>
    <row r="124" spans="19:300" ht="15" hidden="1" customHeight="1" x14ac:dyDescent="0.25">
      <c r="S124" s="81"/>
      <c r="T124" s="81"/>
      <c r="U124" s="60"/>
      <c r="V124" s="60"/>
      <c r="W124" s="478" t="str">
        <f t="shared" si="569"/>
        <v/>
      </c>
      <c r="X124" s="355">
        <f t="shared" si="587"/>
        <v>0</v>
      </c>
      <c r="Y124" s="355">
        <f t="shared" si="570"/>
        <v>0</v>
      </c>
      <c r="Z124" s="355">
        <f t="shared" si="571"/>
        <v>0</v>
      </c>
      <c r="AA124" s="440">
        <f t="shared" si="580"/>
        <v>0</v>
      </c>
      <c r="AB124" s="479" t="str">
        <f t="shared" si="572"/>
        <v/>
      </c>
      <c r="AC124" s="479"/>
      <c r="AD124" s="479"/>
      <c r="AE124" s="355">
        <f t="shared" si="588"/>
        <v>0</v>
      </c>
      <c r="AF124" s="355">
        <f t="shared" si="581"/>
        <v>0</v>
      </c>
      <c r="AG124" s="355">
        <f t="shared" si="582"/>
        <v>0</v>
      </c>
      <c r="AH124" s="440">
        <f t="shared" si="583"/>
        <v>0</v>
      </c>
      <c r="AI124" s="479" t="str">
        <f t="shared" si="573"/>
        <v/>
      </c>
      <c r="AJ124" s="479"/>
      <c r="AK124" s="479"/>
      <c r="AL124" s="355">
        <f t="shared" si="589"/>
        <v>0</v>
      </c>
      <c r="AM124" s="355">
        <f t="shared" si="584"/>
        <v>0</v>
      </c>
      <c r="AN124" s="355">
        <f t="shared" si="585"/>
        <v>0</v>
      </c>
      <c r="AO124" s="440">
        <f t="shared" si="586"/>
        <v>0</v>
      </c>
      <c r="AP124" s="477"/>
      <c r="AW124" s="657"/>
      <c r="AX124" s="78">
        <f t="shared" si="574"/>
        <v>0</v>
      </c>
      <c r="AY124" s="469" t="str">
        <f t="shared" si="575"/>
        <v/>
      </c>
      <c r="AZ124" s="480">
        <f t="shared" si="590"/>
        <v>0</v>
      </c>
      <c r="BA124" s="469" t="str">
        <f t="shared" si="577"/>
        <v/>
      </c>
      <c r="BB124" s="481">
        <f t="shared" si="578"/>
        <v>0</v>
      </c>
      <c r="BC124" s="469" t="str">
        <f t="shared" si="579"/>
        <v/>
      </c>
      <c r="IN124" s="781" t="str">
        <f>IF($IN$74=6,IQ124," ")</f>
        <v xml:space="preserve"> </v>
      </c>
      <c r="IO124" s="196"/>
      <c r="IQ124" s="468" t="s">
        <v>998</v>
      </c>
    </row>
    <row r="125" spans="19:300" ht="15" hidden="1" customHeight="1" x14ac:dyDescent="0.25">
      <c r="S125" s="81"/>
      <c r="T125" s="81"/>
      <c r="U125" s="60"/>
      <c r="V125" s="60"/>
      <c r="W125" s="478" t="str">
        <f t="shared" si="569"/>
        <v/>
      </c>
      <c r="X125" s="355">
        <f t="shared" si="587"/>
        <v>0</v>
      </c>
      <c r="Y125" s="355">
        <f t="shared" si="570"/>
        <v>0</v>
      </c>
      <c r="Z125" s="355">
        <f t="shared" si="571"/>
        <v>0</v>
      </c>
      <c r="AA125" s="440">
        <f t="shared" si="580"/>
        <v>0</v>
      </c>
      <c r="AB125" s="479" t="str">
        <f t="shared" si="572"/>
        <v/>
      </c>
      <c r="AC125" s="479"/>
      <c r="AD125" s="479"/>
      <c r="AE125" s="355">
        <f t="shared" si="588"/>
        <v>0</v>
      </c>
      <c r="AF125" s="355">
        <f t="shared" si="581"/>
        <v>0</v>
      </c>
      <c r="AG125" s="355">
        <f t="shared" si="582"/>
        <v>0</v>
      </c>
      <c r="AH125" s="440">
        <f t="shared" si="583"/>
        <v>0</v>
      </c>
      <c r="AI125" s="479" t="str">
        <f t="shared" si="573"/>
        <v/>
      </c>
      <c r="AJ125" s="479"/>
      <c r="AK125" s="479"/>
      <c r="AL125" s="355">
        <f t="shared" si="589"/>
        <v>0</v>
      </c>
      <c r="AM125" s="355">
        <f t="shared" si="584"/>
        <v>0</v>
      </c>
      <c r="AN125" s="355">
        <f t="shared" si="585"/>
        <v>0</v>
      </c>
      <c r="AO125" s="440">
        <f t="shared" si="586"/>
        <v>0</v>
      </c>
      <c r="AP125" s="477"/>
      <c r="AW125" s="657"/>
      <c r="AX125" s="78">
        <f t="shared" si="574"/>
        <v>0</v>
      </c>
      <c r="AY125" s="469" t="str">
        <f t="shared" si="575"/>
        <v/>
      </c>
      <c r="AZ125" s="480">
        <f t="shared" si="590"/>
        <v>0</v>
      </c>
      <c r="BA125" s="469" t="str">
        <f t="shared" si="577"/>
        <v/>
      </c>
      <c r="BB125" s="481">
        <f t="shared" si="578"/>
        <v>0</v>
      </c>
      <c r="BC125" s="469" t="str">
        <f t="shared" si="579"/>
        <v/>
      </c>
      <c r="BG125" s="484"/>
      <c r="BH125" s="484"/>
      <c r="BI125" s="484"/>
      <c r="BJ125" s="484"/>
      <c r="BK125" s="484"/>
      <c r="BL125" s="484"/>
      <c r="BM125" s="484"/>
      <c r="BN125" s="81"/>
      <c r="BO125" s="81"/>
      <c r="IN125" s="781" t="str">
        <f>IF($IN$74=6,IQ125," ")</f>
        <v xml:space="preserve"> </v>
      </c>
      <c r="IO125" s="781"/>
      <c r="IQ125" s="41" t="s">
        <v>1295</v>
      </c>
    </row>
    <row r="126" spans="19:300" ht="15" hidden="1" customHeight="1" x14ac:dyDescent="0.25">
      <c r="S126" s="81"/>
      <c r="T126" s="81"/>
      <c r="U126" s="60"/>
      <c r="V126" s="60"/>
      <c r="W126" s="478" t="str">
        <f t="shared" si="569"/>
        <v/>
      </c>
      <c r="X126" s="355">
        <f t="shared" si="587"/>
        <v>0</v>
      </c>
      <c r="Y126" s="355">
        <f t="shared" si="570"/>
        <v>0</v>
      </c>
      <c r="Z126" s="355">
        <f t="shared" si="571"/>
        <v>0</v>
      </c>
      <c r="AA126" s="440">
        <f t="shared" si="580"/>
        <v>0</v>
      </c>
      <c r="AB126" s="479" t="str">
        <f t="shared" si="572"/>
        <v/>
      </c>
      <c r="AC126" s="479"/>
      <c r="AD126" s="479"/>
      <c r="AE126" s="355">
        <f t="shared" si="588"/>
        <v>0</v>
      </c>
      <c r="AF126" s="355">
        <f t="shared" si="581"/>
        <v>0</v>
      </c>
      <c r="AG126" s="355">
        <f t="shared" si="582"/>
        <v>0</v>
      </c>
      <c r="AH126" s="440">
        <f t="shared" si="583"/>
        <v>0</v>
      </c>
      <c r="AI126" s="479" t="str">
        <f t="shared" si="573"/>
        <v/>
      </c>
      <c r="AJ126" s="479"/>
      <c r="AK126" s="479"/>
      <c r="AL126" s="355">
        <f t="shared" si="589"/>
        <v>0</v>
      </c>
      <c r="AM126" s="355">
        <f t="shared" si="584"/>
        <v>0</v>
      </c>
      <c r="AN126" s="355">
        <f t="shared" si="585"/>
        <v>0</v>
      </c>
      <c r="AO126" s="440">
        <f t="shared" si="586"/>
        <v>0</v>
      </c>
      <c r="AP126" s="477"/>
      <c r="AW126" s="657"/>
      <c r="AX126" s="78">
        <f t="shared" si="574"/>
        <v>0</v>
      </c>
      <c r="AY126" s="469" t="str">
        <f t="shared" si="575"/>
        <v/>
      </c>
      <c r="AZ126" s="480">
        <f t="shared" si="590"/>
        <v>0</v>
      </c>
      <c r="BA126" s="469" t="str">
        <f t="shared" si="577"/>
        <v/>
      </c>
      <c r="BB126" s="481">
        <f t="shared" si="578"/>
        <v>0</v>
      </c>
      <c r="BC126" s="469" t="str">
        <f t="shared" si="579"/>
        <v/>
      </c>
      <c r="BG126" s="487"/>
      <c r="BH126" s="487"/>
      <c r="BI126" s="487"/>
      <c r="BJ126" s="487"/>
      <c r="BK126" s="487"/>
      <c r="BL126" s="487"/>
      <c r="BM126" s="487"/>
      <c r="BN126" s="81"/>
      <c r="BO126" s="81"/>
      <c r="IN126" s="781" t="str">
        <f>IF($IN$74=6,IQ126," ")</f>
        <v xml:space="preserve"> </v>
      </c>
      <c r="IO126" s="781" t="str">
        <f>IF($IN$74=6,IR126," ")</f>
        <v xml:space="preserve"> </v>
      </c>
      <c r="IQ126" s="41" t="s">
        <v>999</v>
      </c>
      <c r="IR126" s="592">
        <f>MAX(IR76:IR116)</f>
        <v>0</v>
      </c>
    </row>
    <row r="127" spans="19:300" ht="15" hidden="1" customHeight="1" x14ac:dyDescent="0.25">
      <c r="S127" s="81"/>
      <c r="T127" s="81"/>
      <c r="U127" s="60"/>
      <c r="V127" s="60"/>
      <c r="W127" s="478" t="str">
        <f t="shared" si="569"/>
        <v/>
      </c>
      <c r="X127" s="483">
        <f>IF(X47=120,1,0)</f>
        <v>0</v>
      </c>
      <c r="Y127" s="355">
        <f>SUM(Y115:Y126)</f>
        <v>0</v>
      </c>
      <c r="Z127" s="355">
        <f>SUM(Z115:Z126)</f>
        <v>0</v>
      </c>
      <c r="AA127" s="484">
        <f>SUM(AA115:AA126)</f>
        <v>0</v>
      </c>
      <c r="AB127" s="484"/>
      <c r="AC127" s="484"/>
      <c r="AD127" s="484"/>
      <c r="AE127" s="483">
        <f>IF(AE47=120,1,0)</f>
        <v>0</v>
      </c>
      <c r="AF127" s="355">
        <f>SUM(AF115:AF126)</f>
        <v>0</v>
      </c>
      <c r="AG127" s="355">
        <f>SUM(AG115:AG126)</f>
        <v>0</v>
      </c>
      <c r="AH127" s="484">
        <f>SUM(AH115:AH126)</f>
        <v>0</v>
      </c>
      <c r="AI127" s="484"/>
      <c r="AJ127" s="484"/>
      <c r="AK127" s="484"/>
      <c r="AL127" s="483">
        <f>IF(AL47=120,1,0)</f>
        <v>0</v>
      </c>
      <c r="AM127" s="355">
        <f>SUM(AM115:AM126)</f>
        <v>0</v>
      </c>
      <c r="AN127" s="355">
        <f>SUM(AN115:AN126)</f>
        <v>0</v>
      </c>
      <c r="AO127" s="484">
        <f>SUM(AO115:AO126)</f>
        <v>0</v>
      </c>
      <c r="AQ127" s="484">
        <f>AO127+AH127+AA127</f>
        <v>0</v>
      </c>
      <c r="AR127" s="484"/>
      <c r="AS127" s="484"/>
      <c r="AT127" s="484"/>
      <c r="AU127" s="484"/>
      <c r="AV127" s="484"/>
      <c r="AW127" s="657"/>
      <c r="AZ127" s="484"/>
      <c r="BA127" s="484"/>
      <c r="BB127" s="484"/>
      <c r="BC127" s="484"/>
      <c r="BD127" s="484"/>
      <c r="BE127" s="484"/>
      <c r="BF127" s="484"/>
      <c r="BG127" s="81"/>
      <c r="BH127" s="81"/>
      <c r="BI127" s="81"/>
      <c r="BJ127" s="81"/>
      <c r="BK127" s="81"/>
      <c r="BL127" s="81"/>
      <c r="BM127" s="81"/>
      <c r="BN127" s="269"/>
      <c r="BO127" s="81"/>
      <c r="IN127" s="781" t="str">
        <f>IF($IN$74=6,IQ127," ")</f>
        <v xml:space="preserve"> </v>
      </c>
      <c r="IO127" s="781" t="str">
        <f>IF($IN$74=6,IR127," ")</f>
        <v xml:space="preserve"> </v>
      </c>
      <c r="IQ127" s="41" t="s">
        <v>1000</v>
      </c>
      <c r="IR127" s="592">
        <f>MIN(IR76:IR116)</f>
        <v>0</v>
      </c>
    </row>
    <row r="128" spans="19:300" ht="15" hidden="1" customHeight="1" x14ac:dyDescent="0.25">
      <c r="S128" s="81"/>
      <c r="T128" s="81"/>
      <c r="U128" s="60"/>
      <c r="V128" s="60"/>
      <c r="W128" s="474"/>
      <c r="X128" s="485">
        <f>IF(X127=Z128,1,0)</f>
        <v>0</v>
      </c>
      <c r="Y128" s="263"/>
      <c r="Z128" s="486">
        <f>IF(Z127=Y127,1,0)</f>
        <v>1</v>
      </c>
      <c r="AA128" s="263"/>
      <c r="AB128" s="263"/>
      <c r="AC128" s="263"/>
      <c r="AD128" s="263"/>
      <c r="AE128" s="485">
        <f>IF(AE127=AG128,1,0)</f>
        <v>0</v>
      </c>
      <c r="AF128" s="263"/>
      <c r="AG128" s="486">
        <f>IF(AG127=AF127,1,0)</f>
        <v>1</v>
      </c>
      <c r="AH128" s="263"/>
      <c r="AI128" s="263"/>
      <c r="AJ128" s="263"/>
      <c r="AK128" s="263"/>
      <c r="AL128" s="485">
        <f>IF(AL127=AN128,1,0)</f>
        <v>0</v>
      </c>
      <c r="AM128" s="263"/>
      <c r="AN128" s="486">
        <f>IF(AN127=AM127,1,0)</f>
        <v>1</v>
      </c>
      <c r="AO128" s="263"/>
      <c r="AP128" s="487">
        <f>X128+Z128+AE128+AG128+AL128+AN128</f>
        <v>3</v>
      </c>
      <c r="AQ128" s="488">
        <f>AQ130+AQ129</f>
        <v>3</v>
      </c>
      <c r="AR128" s="487"/>
      <c r="AS128" s="487"/>
      <c r="AT128" s="487"/>
      <c r="AU128" s="487"/>
      <c r="AV128" s="487"/>
      <c r="AW128" s="657"/>
      <c r="AZ128" s="487"/>
      <c r="BA128" s="487"/>
      <c r="BB128" s="487"/>
      <c r="BC128" s="487"/>
      <c r="BD128" s="487"/>
      <c r="BE128" s="487"/>
      <c r="BF128" s="487"/>
      <c r="BG128" s="269"/>
      <c r="BH128" s="269"/>
      <c r="BI128" s="269"/>
      <c r="BJ128" s="269"/>
      <c r="BK128" s="269"/>
      <c r="BL128" s="269"/>
      <c r="BM128" s="269"/>
      <c r="BN128" s="269"/>
      <c r="BO128" s="81"/>
      <c r="IN128" s="781" t="str">
        <f>IF($IN$74=6,IQ128," ")</f>
        <v xml:space="preserve"> </v>
      </c>
      <c r="IO128" s="781" t="str">
        <f>IF($IN$74=6,IR128," ")</f>
        <v xml:space="preserve"> </v>
      </c>
      <c r="IQ128" s="41" t="s">
        <v>1001</v>
      </c>
      <c r="IR128" s="592">
        <f>IR126-IR127</f>
        <v>0</v>
      </c>
      <c r="IV128" s="592" t="e">
        <f>MEDIAN(IR76:IR116)</f>
        <v>#NUM!</v>
      </c>
      <c r="IW128" s="592" t="e">
        <f>ROUND(IV128,2)</f>
        <v>#NUM!</v>
      </c>
    </row>
    <row r="129" spans="19:257" ht="15" hidden="1" customHeight="1" x14ac:dyDescent="0.25">
      <c r="S129" s="81"/>
      <c r="T129" s="81"/>
      <c r="U129" s="60"/>
      <c r="V129" s="60"/>
      <c r="W129" s="489"/>
      <c r="X129" s="328"/>
      <c r="Y129" s="344"/>
      <c r="Z129" s="446">
        <f>Z128+X128+IL46</f>
        <v>1</v>
      </c>
      <c r="AA129" s="8"/>
      <c r="AB129" s="81"/>
      <c r="AC129" s="81"/>
      <c r="AD129" s="81"/>
      <c r="AE129" s="328"/>
      <c r="AF129" s="169"/>
      <c r="AG129" s="447">
        <f>AG128+AE128+IL58</f>
        <v>1</v>
      </c>
      <c r="AH129" s="169"/>
      <c r="AI129" s="473"/>
      <c r="AJ129" s="473"/>
      <c r="AK129" s="473"/>
      <c r="AL129" s="328"/>
      <c r="AM129" s="81"/>
      <c r="AN129" s="449">
        <f>AN128+AL128+IL70</f>
        <v>1</v>
      </c>
      <c r="AO129" s="81"/>
      <c r="AP129" s="81"/>
      <c r="AQ129" s="81">
        <f>IL46+IL58+IL70</f>
        <v>0</v>
      </c>
      <c r="AR129" s="81"/>
      <c r="AS129" s="81"/>
      <c r="AT129" s="81"/>
      <c r="AU129" s="81"/>
      <c r="AV129" s="81"/>
      <c r="AW129" s="657"/>
      <c r="AX129" s="469"/>
      <c r="AZ129" s="81"/>
      <c r="BA129" s="81"/>
      <c r="BB129" s="81"/>
      <c r="BC129" s="81"/>
      <c r="BD129" s="81"/>
      <c r="BE129" s="81"/>
      <c r="BF129" s="81"/>
      <c r="BG129" s="269"/>
      <c r="BH129" s="269"/>
      <c r="BI129" s="269"/>
      <c r="BJ129" s="269"/>
      <c r="BK129" s="269"/>
      <c r="BL129" s="269"/>
      <c r="BM129" s="269"/>
      <c r="BN129" s="269"/>
      <c r="BO129" s="81"/>
      <c r="IN129" s="781" t="str">
        <f t="shared" ref="IN129:IN130" si="593">IF($IN$74=6,IQ129," ")</f>
        <v xml:space="preserve"> </v>
      </c>
      <c r="IO129" s="781" t="str">
        <f>IF($IN$74=6,IS129," ")</f>
        <v xml:space="preserve"> </v>
      </c>
      <c r="IQ129" s="41" t="s">
        <v>1002</v>
      </c>
      <c r="IR129" s="78" t="e">
        <f>Register!H207</f>
        <v>#DIV/0!</v>
      </c>
      <c r="IS129" s="592" t="e">
        <f>ROUND(IR129,2)</f>
        <v>#DIV/0!</v>
      </c>
      <c r="IV129" s="592" t="e">
        <f>AVERAGE(IR76:IR116)</f>
        <v>#DIV/0!</v>
      </c>
      <c r="IW129" s="592" t="e">
        <f t="shared" ref="IW129" si="594">ROUND(IV129,2)</f>
        <v>#DIV/0!</v>
      </c>
    </row>
    <row r="130" spans="19:257" ht="15" hidden="1" customHeight="1" x14ac:dyDescent="0.25">
      <c r="S130" s="81"/>
      <c r="T130" s="81"/>
      <c r="U130" s="60"/>
      <c r="V130" s="60"/>
      <c r="W130" s="490" t="str">
        <f t="shared" ref="W130:W137" si="595">W115</f>
        <v/>
      </c>
      <c r="X130" s="491"/>
      <c r="Y130" s="269">
        <f>IF($Z$129=2,(X35*Y35),0)</f>
        <v>0</v>
      </c>
      <c r="Z130" s="268"/>
      <c r="AA130" s="268"/>
      <c r="AB130" s="490" t="str">
        <f>AB115</f>
        <v/>
      </c>
      <c r="AC130" s="490"/>
      <c r="AD130" s="490"/>
      <c r="AE130" s="491"/>
      <c r="AF130" s="269">
        <f>IF($AG$129=2,(AE35*AF35),0)</f>
        <v>0</v>
      </c>
      <c r="AG130" s="491"/>
      <c r="AH130" s="491"/>
      <c r="AI130" s="490" t="str">
        <f>AI115</f>
        <v/>
      </c>
      <c r="AJ130" s="490"/>
      <c r="AK130" s="490"/>
      <c r="AL130" s="491"/>
      <c r="AM130" s="269">
        <f>IF($AN$129=2,(AL35*AM35),0)</f>
        <v>0</v>
      </c>
      <c r="AN130" s="491"/>
      <c r="AO130" s="491"/>
      <c r="AP130" s="269"/>
      <c r="AQ130" s="488">
        <f>AL128+AE128+X128+Z128+AG128+AN128</f>
        <v>3</v>
      </c>
      <c r="AR130" s="269"/>
      <c r="AS130" s="269"/>
      <c r="AT130" s="269"/>
      <c r="AU130" s="269"/>
      <c r="AV130" s="269"/>
      <c r="AW130" s="657"/>
      <c r="AX130" s="469"/>
      <c r="AZ130" s="269"/>
      <c r="BA130" s="269"/>
      <c r="BB130" s="269"/>
      <c r="BC130" s="269"/>
      <c r="BD130" s="269"/>
      <c r="BE130" s="269"/>
      <c r="BF130" s="269"/>
      <c r="BG130" s="269"/>
      <c r="BH130" s="269"/>
      <c r="BI130" s="269"/>
      <c r="BJ130" s="269"/>
      <c r="BK130" s="269"/>
      <c r="BL130" s="269"/>
      <c r="BM130" s="269"/>
      <c r="BN130" s="269"/>
      <c r="BO130" s="81"/>
      <c r="IN130" s="781" t="str">
        <f t="shared" si="593"/>
        <v xml:space="preserve"> </v>
      </c>
      <c r="IO130" s="781" t="str">
        <f>IF($IN$74=6,IS130," ")</f>
        <v xml:space="preserve"> </v>
      </c>
      <c r="IQ130" s="41" t="s">
        <v>1003</v>
      </c>
      <c r="IR130" s="78" t="e">
        <f>Register!H208</f>
        <v>#NUM!</v>
      </c>
      <c r="IS130" s="592" t="e">
        <f t="shared" ref="IS130" si="596">ROUND(IR130,2)</f>
        <v>#NUM!</v>
      </c>
    </row>
    <row r="131" spans="19:257" ht="15" hidden="1" customHeight="1" x14ac:dyDescent="0.25">
      <c r="S131" s="81"/>
      <c r="T131" s="81"/>
      <c r="U131" s="60"/>
      <c r="V131" s="60"/>
      <c r="W131" s="490" t="str">
        <f t="shared" si="595"/>
        <v/>
      </c>
      <c r="X131" s="491"/>
      <c r="Y131" s="269">
        <f t="shared" ref="Y131:Y141" si="597">IF($Z$129=2,(X36*Y36),0)</f>
        <v>0</v>
      </c>
      <c r="Z131" s="268"/>
      <c r="AA131" s="268"/>
      <c r="AB131" s="490" t="str">
        <f t="shared" ref="AB131:AB141" si="598">AB116</f>
        <v/>
      </c>
      <c r="AC131" s="490"/>
      <c r="AD131" s="490"/>
      <c r="AE131" s="491"/>
      <c r="AF131" s="269">
        <f t="shared" ref="AF131:AF141" si="599">IF($AG$129=2,(AE36*AF36),0)</f>
        <v>0</v>
      </c>
      <c r="AG131" s="491"/>
      <c r="AH131" s="491"/>
      <c r="AI131" s="490" t="str">
        <f t="shared" ref="AI131:AI141" si="600">AI116</f>
        <v/>
      </c>
      <c r="AJ131" s="490"/>
      <c r="AK131" s="490"/>
      <c r="AL131" s="491"/>
      <c r="AM131" s="269">
        <f t="shared" ref="AM131:AM141" si="601">IF($AN$129=2,(AL36*AM36),0)</f>
        <v>0</v>
      </c>
      <c r="AN131" s="491"/>
      <c r="AO131" s="491"/>
      <c r="AP131" s="269"/>
      <c r="AQ131" s="269"/>
      <c r="AR131" s="269"/>
      <c r="AS131" s="269"/>
      <c r="AT131" s="269"/>
      <c r="AU131" s="269"/>
      <c r="AV131" s="269"/>
      <c r="AW131" s="657"/>
      <c r="AX131" s="469"/>
      <c r="AZ131" s="269"/>
      <c r="BA131" s="269"/>
      <c r="BB131" s="269"/>
      <c r="BC131" s="269"/>
      <c r="BD131" s="269"/>
      <c r="BE131" s="269"/>
      <c r="BF131" s="269"/>
      <c r="BG131" s="269"/>
      <c r="BH131" s="269"/>
      <c r="BI131" s="269"/>
      <c r="BJ131" s="269"/>
      <c r="BK131" s="269"/>
      <c r="BL131" s="269"/>
      <c r="BM131" s="269"/>
      <c r="BN131" s="269"/>
      <c r="BO131" s="81"/>
      <c r="IN131" s="781" t="str">
        <f t="shared" ref="IN131" si="602">IF($IN$74=6,IQ131," ")</f>
        <v xml:space="preserve"> </v>
      </c>
      <c r="IO131" s="781" t="str">
        <f>IF($IN$74=6,IR131," ")</f>
        <v xml:space="preserve"> </v>
      </c>
      <c r="IQ131" s="41" t="s">
        <v>1005</v>
      </c>
      <c r="IR131" s="78">
        <f>KN117</f>
        <v>0</v>
      </c>
    </row>
    <row r="132" spans="19:257" ht="15" hidden="1" customHeight="1" x14ac:dyDescent="0.25">
      <c r="S132" s="81"/>
      <c r="T132" s="81"/>
      <c r="U132" s="60"/>
      <c r="V132" s="60"/>
      <c r="W132" s="490" t="str">
        <f t="shared" si="595"/>
        <v/>
      </c>
      <c r="X132" s="491"/>
      <c r="Y132" s="269">
        <f t="shared" si="597"/>
        <v>0</v>
      </c>
      <c r="Z132" s="268"/>
      <c r="AA132" s="268"/>
      <c r="AB132" s="490" t="str">
        <f t="shared" si="598"/>
        <v/>
      </c>
      <c r="AC132" s="490"/>
      <c r="AD132" s="490"/>
      <c r="AE132" s="491"/>
      <c r="AF132" s="269">
        <f t="shared" si="599"/>
        <v>0</v>
      </c>
      <c r="AG132" s="491"/>
      <c r="AH132" s="491"/>
      <c r="AI132" s="490" t="str">
        <f t="shared" si="600"/>
        <v/>
      </c>
      <c r="AJ132" s="490"/>
      <c r="AK132" s="490"/>
      <c r="AL132" s="491"/>
      <c r="AM132" s="269">
        <f t="shared" si="601"/>
        <v>0</v>
      </c>
      <c r="AN132" s="491"/>
      <c r="AO132" s="491"/>
      <c r="AP132" s="269"/>
      <c r="AQ132" s="269"/>
      <c r="AR132" s="269"/>
      <c r="AS132" s="269"/>
      <c r="AT132" s="269"/>
      <c r="AU132" s="269"/>
      <c r="AV132" s="269"/>
      <c r="AW132" s="657"/>
      <c r="AX132" s="469"/>
      <c r="AZ132" s="269"/>
      <c r="BA132" s="269"/>
      <c r="BB132" s="269"/>
      <c r="BC132" s="269"/>
      <c r="BD132" s="269"/>
      <c r="BE132" s="269"/>
      <c r="BF132" s="269"/>
      <c r="BG132" s="269"/>
      <c r="BH132" s="269"/>
      <c r="BI132" s="269"/>
      <c r="BJ132" s="269"/>
      <c r="BK132" s="269"/>
      <c r="BL132" s="269"/>
      <c r="BM132" s="269"/>
      <c r="BN132" s="269"/>
      <c r="BO132" s="81"/>
    </row>
    <row r="133" spans="19:257" ht="15" hidden="1" customHeight="1" x14ac:dyDescent="0.25">
      <c r="S133" s="81"/>
      <c r="T133" s="81"/>
      <c r="U133" s="60"/>
      <c r="V133" s="60"/>
      <c r="W133" s="490" t="str">
        <f t="shared" si="595"/>
        <v/>
      </c>
      <c r="X133" s="491"/>
      <c r="Y133" s="269">
        <f t="shared" si="597"/>
        <v>0</v>
      </c>
      <c r="Z133" s="268"/>
      <c r="AA133" s="268"/>
      <c r="AB133" s="490" t="str">
        <f t="shared" si="598"/>
        <v/>
      </c>
      <c r="AC133" s="490"/>
      <c r="AD133" s="490"/>
      <c r="AE133" s="491"/>
      <c r="AF133" s="269">
        <f t="shared" si="599"/>
        <v>0</v>
      </c>
      <c r="AG133" s="491"/>
      <c r="AH133" s="491"/>
      <c r="AI133" s="490" t="str">
        <f t="shared" si="600"/>
        <v/>
      </c>
      <c r="AJ133" s="490"/>
      <c r="AK133" s="490"/>
      <c r="AL133" s="491"/>
      <c r="AM133" s="269">
        <f t="shared" si="601"/>
        <v>0</v>
      </c>
      <c r="AN133" s="491"/>
      <c r="AO133" s="491"/>
      <c r="AP133" s="269"/>
      <c r="AQ133" s="269"/>
      <c r="AR133" s="269"/>
      <c r="AS133" s="269"/>
      <c r="AT133" s="269"/>
      <c r="AU133" s="269"/>
      <c r="AV133" s="269"/>
      <c r="AW133" s="657"/>
      <c r="AX133" s="469"/>
      <c r="AZ133" s="269"/>
      <c r="BA133" s="269"/>
      <c r="BB133" s="269"/>
      <c r="BC133" s="269"/>
      <c r="BD133" s="269"/>
      <c r="BE133" s="269"/>
      <c r="BF133" s="269"/>
      <c r="BG133" s="269"/>
      <c r="BH133" s="269"/>
      <c r="BI133" s="269"/>
      <c r="BJ133" s="269"/>
      <c r="BK133" s="269"/>
      <c r="BL133" s="269"/>
      <c r="BM133" s="269"/>
      <c r="BN133" s="494"/>
      <c r="IQ133" s="78">
        <f>Register!G206</f>
        <v>0</v>
      </c>
      <c r="IR133" s="78" t="str">
        <f>Register!H206</f>
        <v>LINKED</v>
      </c>
    </row>
    <row r="134" spans="19:257" ht="15" hidden="1" customHeight="1" x14ac:dyDescent="0.25">
      <c r="S134" s="81"/>
      <c r="T134" s="81"/>
      <c r="U134" s="60"/>
      <c r="V134" s="60"/>
      <c r="W134" s="490" t="str">
        <f t="shared" si="595"/>
        <v/>
      </c>
      <c r="X134" s="491"/>
      <c r="Y134" s="269">
        <f t="shared" si="597"/>
        <v>0</v>
      </c>
      <c r="Z134" s="268"/>
      <c r="AA134" s="268"/>
      <c r="AB134" s="490" t="str">
        <f t="shared" si="598"/>
        <v/>
      </c>
      <c r="AC134" s="490"/>
      <c r="AD134" s="490"/>
      <c r="AE134" s="491"/>
      <c r="AF134" s="269">
        <f t="shared" si="599"/>
        <v>0</v>
      </c>
      <c r="AG134" s="491"/>
      <c r="AH134" s="491"/>
      <c r="AI134" s="490" t="str">
        <f t="shared" si="600"/>
        <v/>
      </c>
      <c r="AJ134" s="490"/>
      <c r="AK134" s="490"/>
      <c r="AL134" s="491"/>
      <c r="AM134" s="269">
        <f t="shared" si="601"/>
        <v>0</v>
      </c>
      <c r="AN134" s="491"/>
      <c r="AO134" s="491"/>
      <c r="AP134" s="269"/>
      <c r="AQ134" s="269"/>
      <c r="AR134" s="269"/>
      <c r="AS134" s="269"/>
      <c r="AT134" s="269"/>
      <c r="AU134" s="269"/>
      <c r="AV134" s="269"/>
      <c r="AW134" s="653"/>
      <c r="AX134" s="469"/>
      <c r="AZ134" s="269"/>
      <c r="BA134" s="269"/>
      <c r="BB134" s="269"/>
      <c r="BC134" s="269"/>
      <c r="BD134" s="269"/>
      <c r="BE134" s="269"/>
      <c r="BF134" s="269"/>
      <c r="BG134" s="494"/>
      <c r="BH134" s="494"/>
      <c r="BI134" s="494"/>
      <c r="BJ134" s="494"/>
      <c r="BK134" s="494"/>
      <c r="BL134" s="494"/>
      <c r="BM134" s="494"/>
      <c r="BN134" s="494"/>
      <c r="IQ134" s="78" t="str">
        <f>Register!G207</f>
        <v>ave</v>
      </c>
    </row>
    <row r="135" spans="19:257" ht="15" hidden="1" customHeight="1" x14ac:dyDescent="0.25">
      <c r="S135" s="81"/>
      <c r="T135" s="81"/>
      <c r="U135" s="60"/>
      <c r="V135" s="60"/>
      <c r="W135" s="490" t="str">
        <f t="shared" si="595"/>
        <v/>
      </c>
      <c r="X135" s="491"/>
      <c r="Y135" s="269">
        <f t="shared" si="597"/>
        <v>0</v>
      </c>
      <c r="Z135" s="492"/>
      <c r="AA135" s="268"/>
      <c r="AB135" s="490" t="str">
        <f t="shared" si="598"/>
        <v/>
      </c>
      <c r="AC135" s="490"/>
      <c r="AD135" s="490"/>
      <c r="AE135" s="491"/>
      <c r="AF135" s="269">
        <f t="shared" si="599"/>
        <v>0</v>
      </c>
      <c r="AG135" s="493"/>
      <c r="AH135" s="493"/>
      <c r="AI135" s="490" t="str">
        <f t="shared" si="600"/>
        <v/>
      </c>
      <c r="AJ135" s="490"/>
      <c r="AK135" s="490"/>
      <c r="AL135" s="491"/>
      <c r="AM135" s="269">
        <f t="shared" si="601"/>
        <v>0</v>
      </c>
      <c r="AN135" s="493"/>
      <c r="AO135" s="493"/>
      <c r="AP135" s="269"/>
      <c r="AQ135" s="269"/>
      <c r="AR135" s="269"/>
      <c r="AS135" s="269"/>
      <c r="AT135" s="269"/>
      <c r="AU135" s="269"/>
      <c r="AV135" s="269"/>
      <c r="AW135" s="653"/>
      <c r="AX135" s="469"/>
      <c r="AZ135" s="269"/>
      <c r="BA135" s="269"/>
      <c r="BB135" s="269"/>
      <c r="BC135" s="269"/>
      <c r="BD135" s="269"/>
      <c r="BE135" s="269"/>
      <c r="BF135" s="269"/>
      <c r="BG135" s="494"/>
      <c r="BH135" s="494"/>
      <c r="BI135" s="494"/>
      <c r="BJ135" s="494"/>
      <c r="BK135" s="494"/>
      <c r="BL135" s="494"/>
      <c r="BM135" s="494"/>
      <c r="BN135" s="494"/>
      <c r="IQ135" s="78" t="str">
        <f>Register!G208</f>
        <v>media</v>
      </c>
    </row>
    <row r="136" spans="19:257" ht="15" hidden="1" customHeight="1" x14ac:dyDescent="0.25">
      <c r="S136" s="81"/>
      <c r="T136" s="81"/>
      <c r="U136" s="60"/>
      <c r="V136" s="60"/>
      <c r="W136" s="490" t="str">
        <f t="shared" si="595"/>
        <v/>
      </c>
      <c r="X136" s="491"/>
      <c r="Y136" s="269">
        <f t="shared" si="597"/>
        <v>0</v>
      </c>
      <c r="Z136" s="268"/>
      <c r="AA136" s="268"/>
      <c r="AB136" s="490" t="str">
        <f t="shared" si="598"/>
        <v/>
      </c>
      <c r="AC136" s="490"/>
      <c r="AD136" s="490"/>
      <c r="AE136" s="491"/>
      <c r="AF136" s="269">
        <f t="shared" si="599"/>
        <v>0</v>
      </c>
      <c r="AG136" s="271"/>
      <c r="AH136" s="271"/>
      <c r="AI136" s="490" t="str">
        <f t="shared" si="600"/>
        <v/>
      </c>
      <c r="AJ136" s="490"/>
      <c r="AK136" s="490"/>
      <c r="AL136" s="491"/>
      <c r="AM136" s="269">
        <f t="shared" si="601"/>
        <v>0</v>
      </c>
      <c r="AN136" s="271"/>
      <c r="AO136" s="271"/>
      <c r="AP136" s="494"/>
      <c r="AQ136" s="494"/>
      <c r="AR136" s="494"/>
      <c r="AS136" s="494"/>
      <c r="AT136" s="494"/>
      <c r="AU136" s="494"/>
      <c r="AV136" s="494"/>
      <c r="AW136" s="653"/>
      <c r="AX136" s="469"/>
      <c r="AZ136" s="494"/>
      <c r="BA136" s="494"/>
      <c r="BB136" s="494"/>
      <c r="BC136" s="494"/>
      <c r="BD136" s="494"/>
      <c r="BE136" s="494"/>
      <c r="BF136" s="494"/>
      <c r="BG136" s="494"/>
      <c r="BH136" s="494"/>
      <c r="BI136" s="494"/>
      <c r="BJ136" s="494"/>
      <c r="BK136" s="494"/>
      <c r="BL136" s="494"/>
      <c r="BM136" s="494"/>
      <c r="BN136" s="494"/>
      <c r="IQ136" s="78">
        <f>Register!G209</f>
        <v>0</v>
      </c>
      <c r="IR136" s="78">
        <f>Register!H209</f>
        <v>0</v>
      </c>
    </row>
    <row r="137" spans="19:257" ht="15" hidden="1" customHeight="1" x14ac:dyDescent="0.25">
      <c r="S137" s="81"/>
      <c r="T137" s="81"/>
      <c r="U137" s="60"/>
      <c r="V137" s="60"/>
      <c r="W137" s="490" t="str">
        <f t="shared" si="595"/>
        <v/>
      </c>
      <c r="X137" s="491"/>
      <c r="Y137" s="269">
        <f t="shared" si="597"/>
        <v>0</v>
      </c>
      <c r="Z137" s="268"/>
      <c r="AA137" s="268"/>
      <c r="AB137" s="490" t="str">
        <f t="shared" si="598"/>
        <v/>
      </c>
      <c r="AC137" s="490"/>
      <c r="AD137" s="490"/>
      <c r="AE137" s="491"/>
      <c r="AF137" s="269">
        <f t="shared" si="599"/>
        <v>0</v>
      </c>
      <c r="AG137" s="271"/>
      <c r="AH137" s="271"/>
      <c r="AI137" s="490" t="str">
        <f t="shared" si="600"/>
        <v/>
      </c>
      <c r="AJ137" s="490"/>
      <c r="AK137" s="490"/>
      <c r="AL137" s="491"/>
      <c r="AM137" s="269">
        <f t="shared" si="601"/>
        <v>0</v>
      </c>
      <c r="AN137" s="271"/>
      <c r="AO137" s="271"/>
      <c r="AP137" s="494"/>
      <c r="AQ137" s="494"/>
      <c r="AR137" s="494"/>
      <c r="AS137" s="494"/>
      <c r="AT137" s="494"/>
      <c r="AU137" s="494"/>
      <c r="AV137" s="494"/>
      <c r="AW137" s="653"/>
      <c r="AX137" s="469"/>
      <c r="AZ137" s="494"/>
      <c r="BA137" s="494"/>
      <c r="BB137" s="494"/>
      <c r="BC137" s="494"/>
      <c r="BD137" s="494"/>
      <c r="BE137" s="494"/>
      <c r="BF137" s="494"/>
      <c r="BG137" s="494"/>
      <c r="BH137" s="494"/>
      <c r="BI137" s="494"/>
      <c r="BJ137" s="494"/>
      <c r="BK137" s="494"/>
      <c r="BL137" s="494"/>
      <c r="BM137" s="494"/>
      <c r="BN137" s="494"/>
      <c r="IQ137" s="78">
        <f>Register!G210</f>
        <v>0</v>
      </c>
      <c r="IR137" s="78">
        <f>Register!H210</f>
        <v>0</v>
      </c>
    </row>
    <row r="138" spans="19:257" ht="15" hidden="1" customHeight="1" x14ac:dyDescent="0.25">
      <c r="S138" s="81"/>
      <c r="T138" s="81"/>
      <c r="U138" s="490" t="str">
        <f>W123</f>
        <v/>
      </c>
      <c r="V138" s="490"/>
      <c r="W138" s="490"/>
      <c r="X138" s="491"/>
      <c r="Y138" s="269">
        <f t="shared" si="597"/>
        <v>0</v>
      </c>
      <c r="Z138" s="268"/>
      <c r="AA138" s="268"/>
      <c r="AB138" s="490" t="str">
        <f t="shared" si="598"/>
        <v/>
      </c>
      <c r="AC138" s="490"/>
      <c r="AD138" s="490"/>
      <c r="AE138" s="491"/>
      <c r="AF138" s="269">
        <f t="shared" si="599"/>
        <v>0</v>
      </c>
      <c r="AG138" s="271"/>
      <c r="AH138" s="271"/>
      <c r="AI138" s="490" t="str">
        <f t="shared" si="600"/>
        <v/>
      </c>
      <c r="AJ138" s="490"/>
      <c r="AK138" s="490"/>
      <c r="AL138" s="491"/>
      <c r="AM138" s="269">
        <f t="shared" si="601"/>
        <v>0</v>
      </c>
      <c r="AN138" s="271"/>
      <c r="AO138" s="271"/>
      <c r="AP138" s="494"/>
      <c r="AQ138" s="494"/>
      <c r="AR138" s="494"/>
      <c r="AS138" s="494"/>
      <c r="AT138" s="494"/>
      <c r="AU138" s="494"/>
      <c r="AV138" s="494"/>
      <c r="AW138" s="653"/>
      <c r="AX138" s="469"/>
      <c r="AZ138" s="494"/>
      <c r="BA138" s="494"/>
      <c r="BB138" s="494"/>
      <c r="BC138" s="494"/>
      <c r="BD138" s="494"/>
      <c r="BE138" s="494"/>
      <c r="BF138" s="494"/>
      <c r="BG138" s="494"/>
      <c r="BH138" s="494"/>
      <c r="BI138" s="494"/>
      <c r="BJ138" s="494"/>
      <c r="BK138" s="494"/>
      <c r="BL138" s="494"/>
      <c r="BM138" s="494"/>
      <c r="BN138" s="494"/>
      <c r="BP138" s="495"/>
      <c r="BQ138" s="495"/>
      <c r="BR138" s="495"/>
      <c r="IQ138" s="78">
        <f>Register!G211</f>
        <v>0</v>
      </c>
      <c r="IR138" s="78">
        <f>Register!H211</f>
        <v>0</v>
      </c>
    </row>
    <row r="139" spans="19:257" ht="15" hidden="1" customHeight="1" x14ac:dyDescent="0.3">
      <c r="S139" s="81"/>
      <c r="T139" s="81"/>
      <c r="U139" s="490" t="str">
        <f>W124</f>
        <v/>
      </c>
      <c r="V139" s="490"/>
      <c r="W139" s="490"/>
      <c r="X139" s="491"/>
      <c r="Y139" s="269">
        <f t="shared" si="597"/>
        <v>0</v>
      </c>
      <c r="Z139" s="268"/>
      <c r="AA139" s="268"/>
      <c r="AB139" s="490" t="str">
        <f t="shared" si="598"/>
        <v/>
      </c>
      <c r="AC139" s="490"/>
      <c r="AD139" s="490"/>
      <c r="AE139" s="491"/>
      <c r="AF139" s="269">
        <f t="shared" si="599"/>
        <v>0</v>
      </c>
      <c r="AG139" s="271"/>
      <c r="AH139" s="271"/>
      <c r="AI139" s="490" t="str">
        <f t="shared" si="600"/>
        <v/>
      </c>
      <c r="AJ139" s="490"/>
      <c r="AK139" s="490"/>
      <c r="AL139" s="491"/>
      <c r="AM139" s="269">
        <f t="shared" si="601"/>
        <v>0</v>
      </c>
      <c r="AN139" s="271"/>
      <c r="AO139" s="271"/>
      <c r="AP139" s="494"/>
      <c r="AQ139" s="494"/>
      <c r="AR139" s="494"/>
      <c r="AS139" s="494"/>
      <c r="AT139" s="494"/>
      <c r="AU139" s="494"/>
      <c r="AV139" s="494"/>
      <c r="AW139" s="653"/>
      <c r="AX139" s="469"/>
      <c r="AZ139" s="494"/>
      <c r="BA139" s="494"/>
      <c r="BB139" s="494"/>
      <c r="BC139" s="494"/>
      <c r="BD139" s="494"/>
      <c r="BE139" s="494"/>
      <c r="BF139" s="494"/>
      <c r="BG139" s="494"/>
      <c r="BH139" s="494"/>
      <c r="BI139" s="494"/>
      <c r="BJ139" s="494"/>
      <c r="BK139" s="494"/>
      <c r="BL139" s="494"/>
      <c r="BM139" s="494"/>
      <c r="BN139" s="494"/>
      <c r="BP139" s="496"/>
      <c r="BQ139" s="497"/>
      <c r="BR139" s="497"/>
      <c r="BS139" s="81"/>
    </row>
    <row r="140" spans="19:257" ht="15" hidden="1" customHeight="1" x14ac:dyDescent="0.25">
      <c r="S140" s="81"/>
      <c r="T140" s="81"/>
      <c r="U140" s="490" t="str">
        <f>W125</f>
        <v/>
      </c>
      <c r="V140" s="490"/>
      <c r="W140" s="490"/>
      <c r="X140" s="491"/>
      <c r="Y140" s="269">
        <f t="shared" si="597"/>
        <v>0</v>
      </c>
      <c r="Z140" s="268"/>
      <c r="AA140" s="268"/>
      <c r="AB140" s="490" t="str">
        <f t="shared" si="598"/>
        <v/>
      </c>
      <c r="AC140" s="490"/>
      <c r="AD140" s="490"/>
      <c r="AE140" s="491"/>
      <c r="AF140" s="269">
        <f t="shared" si="599"/>
        <v>0</v>
      </c>
      <c r="AG140" s="271"/>
      <c r="AH140" s="271"/>
      <c r="AI140" s="490" t="str">
        <f t="shared" si="600"/>
        <v/>
      </c>
      <c r="AJ140" s="490"/>
      <c r="AK140" s="490"/>
      <c r="AL140" s="491"/>
      <c r="AM140" s="269">
        <f t="shared" si="601"/>
        <v>0</v>
      </c>
      <c r="AN140" s="271"/>
      <c r="AO140" s="271"/>
      <c r="AP140" s="494"/>
      <c r="AQ140" s="494"/>
      <c r="AR140" s="494"/>
      <c r="AS140" s="494"/>
      <c r="AT140" s="494"/>
      <c r="AU140" s="494"/>
      <c r="AV140" s="494"/>
      <c r="AW140" s="653"/>
      <c r="AX140" s="469"/>
      <c r="AY140" s="494"/>
      <c r="AZ140" s="494"/>
      <c r="BA140" s="494"/>
      <c r="BB140" s="494"/>
      <c r="BC140" s="494"/>
      <c r="BD140" s="494"/>
      <c r="BE140" s="494"/>
      <c r="BF140" s="494"/>
      <c r="BG140" s="494"/>
      <c r="BH140" s="494"/>
      <c r="BI140" s="494"/>
      <c r="BJ140" s="494"/>
      <c r="BK140" s="494"/>
      <c r="BL140" s="494"/>
      <c r="BM140" s="494"/>
      <c r="BN140" s="494"/>
      <c r="BP140" s="501"/>
      <c r="BQ140" s="501"/>
      <c r="BR140" s="501"/>
      <c r="BS140" s="81"/>
    </row>
    <row r="141" spans="19:257" ht="15" hidden="1" customHeight="1" x14ac:dyDescent="0.3">
      <c r="S141" s="81"/>
      <c r="T141" s="81"/>
      <c r="U141" s="490" t="str">
        <f>W126</f>
        <v/>
      </c>
      <c r="V141" s="490"/>
      <c r="W141" s="490"/>
      <c r="X141" s="491"/>
      <c r="Y141" s="269">
        <f t="shared" si="597"/>
        <v>0</v>
      </c>
      <c r="Z141" s="268"/>
      <c r="AA141" s="268"/>
      <c r="AB141" s="490" t="str">
        <f t="shared" si="598"/>
        <v/>
      </c>
      <c r="AC141" s="490"/>
      <c r="AD141" s="490"/>
      <c r="AE141" s="491"/>
      <c r="AF141" s="269">
        <f t="shared" si="599"/>
        <v>0</v>
      </c>
      <c r="AG141" s="271"/>
      <c r="AH141" s="271"/>
      <c r="AI141" s="490" t="str">
        <f t="shared" si="600"/>
        <v/>
      </c>
      <c r="AJ141" s="490"/>
      <c r="AK141" s="490"/>
      <c r="AL141" s="491"/>
      <c r="AM141" s="269">
        <f t="shared" si="601"/>
        <v>0</v>
      </c>
      <c r="AN141" s="271"/>
      <c r="AO141" s="271"/>
      <c r="AP141" s="494"/>
      <c r="AQ141" s="494"/>
      <c r="AR141" s="494"/>
      <c r="AS141" s="494"/>
      <c r="AT141" s="494"/>
      <c r="AU141" s="494"/>
      <c r="AV141" s="494"/>
      <c r="AW141" s="653"/>
      <c r="AY141" s="494"/>
      <c r="AZ141" s="494"/>
      <c r="BA141" s="494"/>
      <c r="BB141" s="494"/>
      <c r="BC141" s="494"/>
      <c r="BD141" s="494"/>
      <c r="BE141" s="494"/>
      <c r="BF141" s="494"/>
      <c r="BG141" s="494"/>
      <c r="BH141" s="494"/>
      <c r="BI141" s="494"/>
      <c r="BJ141" s="494"/>
      <c r="BK141" s="494"/>
      <c r="BL141" s="494"/>
      <c r="BM141" s="494"/>
      <c r="BN141" s="494"/>
      <c r="BP141" s="502"/>
      <c r="BQ141" s="497"/>
      <c r="BR141" s="497"/>
      <c r="BS141" s="81"/>
    </row>
    <row r="142" spans="19:257" ht="15" hidden="1" customHeight="1" x14ac:dyDescent="0.3">
      <c r="S142" s="81"/>
      <c r="T142" s="81"/>
      <c r="U142" s="490"/>
      <c r="V142" s="490"/>
      <c r="W142" s="490"/>
      <c r="X142" s="498"/>
      <c r="Y142" s="268">
        <f>IF($Z$129=2,SUM(Y130:Y141),0)</f>
        <v>0</v>
      </c>
      <c r="Z142" s="492"/>
      <c r="AA142" s="268"/>
      <c r="AB142" s="268"/>
      <c r="AC142" s="268"/>
      <c r="AD142" s="268"/>
      <c r="AE142" s="216"/>
      <c r="AF142" s="268">
        <f>IF($AG$129=2,SUM(AF130:AF141),0)</f>
        <v>0</v>
      </c>
      <c r="AG142" s="499"/>
      <c r="AH142" s="499"/>
      <c r="AI142" s="500"/>
      <c r="AJ142" s="500"/>
      <c r="AK142" s="500"/>
      <c r="AL142" s="499"/>
      <c r="AM142" s="268">
        <f>IF($AN$129=2,SUM(AM130:AM141),0)</f>
        <v>0</v>
      </c>
      <c r="AN142" s="271"/>
      <c r="AO142" s="271"/>
      <c r="AP142" s="494"/>
      <c r="AQ142" s="494"/>
      <c r="AR142" s="494"/>
      <c r="AS142" s="494"/>
      <c r="AT142" s="494"/>
      <c r="AU142" s="494"/>
      <c r="AV142" s="494"/>
      <c r="AW142" s="653"/>
      <c r="AY142" s="494"/>
      <c r="AZ142" s="494"/>
      <c r="BA142" s="494"/>
      <c r="BB142" s="494"/>
      <c r="BC142" s="494"/>
      <c r="BD142" s="494"/>
      <c r="BE142" s="494"/>
      <c r="BF142" s="494"/>
      <c r="BG142" s="494"/>
      <c r="BH142" s="494"/>
      <c r="BI142" s="494"/>
      <c r="BJ142" s="494"/>
      <c r="BK142" s="494"/>
      <c r="BL142" s="494"/>
      <c r="BM142" s="494"/>
      <c r="BN142" s="494"/>
      <c r="BP142" s="502"/>
      <c r="BQ142" s="497"/>
      <c r="BR142" s="497"/>
      <c r="BS142" s="81"/>
    </row>
    <row r="143" spans="19:257" ht="15" hidden="1" customHeight="1" x14ac:dyDescent="0.3">
      <c r="S143" s="81"/>
      <c r="T143" s="81"/>
      <c r="U143" s="490"/>
      <c r="V143" s="490"/>
      <c r="W143" s="490"/>
      <c r="X143" s="269"/>
      <c r="Y143" s="268">
        <f>IF(X127=1,(Y142 / 120),0)</f>
        <v>0</v>
      </c>
      <c r="Z143" s="492"/>
      <c r="AA143" s="268"/>
      <c r="AB143" s="268"/>
      <c r="AC143" s="268"/>
      <c r="AD143" s="268"/>
      <c r="AE143" s="216"/>
      <c r="AF143" s="268">
        <f>IF(AE127=1,(AF142 / 120),0)</f>
        <v>0</v>
      </c>
      <c r="AG143" s="499"/>
      <c r="AH143" s="499"/>
      <c r="AI143" s="500"/>
      <c r="AJ143" s="500"/>
      <c r="AK143" s="500"/>
      <c r="AL143" s="499"/>
      <c r="AM143" s="268">
        <f>IF(AL127=1,(AM142 / 120),0)</f>
        <v>0</v>
      </c>
      <c r="AN143" s="271"/>
      <c r="AO143" s="271"/>
      <c r="AP143" s="494"/>
      <c r="AQ143" s="494"/>
      <c r="AR143" s="494"/>
      <c r="AS143" s="494"/>
      <c r="AT143" s="494"/>
      <c r="AU143" s="494"/>
      <c r="AV143" s="494"/>
      <c r="AW143" s="653"/>
      <c r="AY143" s="494"/>
      <c r="AZ143" s="494"/>
      <c r="BA143" s="494"/>
      <c r="BB143" s="494"/>
      <c r="BC143" s="494"/>
      <c r="BD143" s="494"/>
      <c r="BE143" s="494"/>
      <c r="BF143" s="494"/>
      <c r="BG143" s="494"/>
      <c r="BH143" s="494"/>
      <c r="BI143" s="494"/>
      <c r="BJ143" s="494"/>
      <c r="BK143" s="494"/>
      <c r="BL143" s="494"/>
      <c r="BM143" s="494"/>
      <c r="BN143" s="494"/>
      <c r="BP143" s="501"/>
      <c r="BQ143" s="497"/>
      <c r="BR143" s="497"/>
      <c r="BS143" s="81"/>
    </row>
    <row r="144" spans="19:257" ht="15" hidden="1" customHeight="1" x14ac:dyDescent="0.3">
      <c r="S144" s="81"/>
      <c r="T144" s="81"/>
      <c r="U144" s="503"/>
      <c r="V144" s="503"/>
      <c r="W144" s="503"/>
      <c r="X144" s="378"/>
      <c r="Y144" s="366">
        <f>IF(Z129=2,ROUND(Y143,2),0)</f>
        <v>0</v>
      </c>
      <c r="Z144" s="268"/>
      <c r="AA144" s="268"/>
      <c r="AB144" s="269"/>
      <c r="AC144" s="269"/>
      <c r="AD144" s="269"/>
      <c r="AE144" s="270"/>
      <c r="AF144" s="366">
        <f>IF(AG129=2,ROUND(AF143,2),0)</f>
        <v>0</v>
      </c>
      <c r="AG144" s="271"/>
      <c r="AH144" s="271"/>
      <c r="AI144" s="272"/>
      <c r="AJ144" s="272"/>
      <c r="AK144" s="272"/>
      <c r="AL144" s="271"/>
      <c r="AM144" s="366">
        <f>IF(AN129=2,ROUND(AM143,2),0)</f>
        <v>0</v>
      </c>
      <c r="AN144" s="271"/>
      <c r="AO144" s="271"/>
      <c r="AP144" s="494"/>
      <c r="AQ144" s="494"/>
      <c r="AR144" s="494"/>
      <c r="AS144" s="494"/>
      <c r="AT144" s="494"/>
      <c r="AU144" s="494"/>
      <c r="AV144" s="494"/>
      <c r="AW144" s="653"/>
      <c r="AY144" s="494"/>
      <c r="AZ144" s="494"/>
      <c r="BA144" s="494"/>
      <c r="BB144" s="494"/>
      <c r="BC144" s="494"/>
      <c r="BD144" s="494"/>
      <c r="BE144" s="494"/>
      <c r="BF144" s="494"/>
      <c r="BG144" s="494"/>
      <c r="BH144" s="494"/>
      <c r="BI144" s="494"/>
      <c r="BJ144" s="494"/>
      <c r="BK144" s="494"/>
      <c r="BL144" s="494"/>
      <c r="BM144" s="494"/>
      <c r="BN144" s="494"/>
      <c r="BP144" s="502"/>
      <c r="BQ144" s="497"/>
      <c r="BR144" s="497"/>
      <c r="BS144" s="81"/>
    </row>
    <row r="145" spans="19:71" ht="15" hidden="1" customHeight="1" x14ac:dyDescent="0.3">
      <c r="S145" s="81"/>
      <c r="T145" s="81"/>
      <c r="U145" s="503"/>
      <c r="V145" s="503"/>
      <c r="W145" s="503"/>
      <c r="X145" s="378"/>
      <c r="Y145" s="378"/>
      <c r="Z145" s="268"/>
      <c r="AA145" s="268"/>
      <c r="AB145" s="269"/>
      <c r="AC145" s="269"/>
      <c r="AD145" s="269"/>
      <c r="AE145" s="270"/>
      <c r="AF145" s="271"/>
      <c r="AG145" s="271"/>
      <c r="AH145" s="271"/>
      <c r="AI145" s="272"/>
      <c r="AJ145" s="272"/>
      <c r="AK145" s="272"/>
      <c r="AL145" s="271"/>
      <c r="AM145" s="504">
        <f>AM144+AF144+Y144</f>
        <v>0</v>
      </c>
      <c r="AN145" s="271"/>
      <c r="AO145" s="271"/>
      <c r="AP145" s="494"/>
      <c r="AQ145" s="494"/>
      <c r="AR145" s="494"/>
      <c r="AS145" s="494"/>
      <c r="AT145" s="494"/>
      <c r="AU145" s="494"/>
      <c r="AV145" s="494"/>
      <c r="AW145" s="653"/>
      <c r="AY145" s="494"/>
      <c r="AZ145" s="494"/>
      <c r="BA145" s="494"/>
      <c r="BB145" s="494"/>
      <c r="BC145" s="494"/>
      <c r="BD145" s="494"/>
      <c r="BE145" s="494"/>
      <c r="BF145" s="494"/>
      <c r="BG145" s="494"/>
      <c r="BH145" s="494"/>
      <c r="BI145" s="494"/>
      <c r="BJ145" s="494"/>
      <c r="BK145" s="494"/>
      <c r="BL145" s="494"/>
      <c r="BM145" s="494"/>
      <c r="BN145" s="494"/>
      <c r="BP145" s="502"/>
      <c r="BQ145" s="497"/>
      <c r="BR145" s="497"/>
      <c r="BS145" s="81"/>
    </row>
    <row r="146" spans="19:71" ht="15" hidden="1" customHeight="1" x14ac:dyDescent="0.3">
      <c r="S146" s="81"/>
      <c r="T146" s="81"/>
      <c r="U146" s="503"/>
      <c r="V146" s="503"/>
      <c r="W146" s="503"/>
      <c r="X146" s="378"/>
      <c r="Y146" s="378"/>
      <c r="Z146" s="268"/>
      <c r="AA146" s="268"/>
      <c r="AB146" s="269"/>
      <c r="AC146" s="269"/>
      <c r="AD146" s="269"/>
      <c r="AE146" s="270"/>
      <c r="AF146" s="271"/>
      <c r="AG146" s="271"/>
      <c r="AH146" s="271"/>
      <c r="AI146" s="272"/>
      <c r="AJ146" s="272"/>
      <c r="AK146" s="272"/>
      <c r="AL146" s="271"/>
      <c r="AM146" s="271">
        <f>AM145 / 3</f>
        <v>0</v>
      </c>
      <c r="AN146" s="271"/>
      <c r="AO146" s="271"/>
      <c r="AP146" s="494"/>
      <c r="AQ146" s="494"/>
      <c r="AR146" s="494"/>
      <c r="AS146" s="494"/>
      <c r="AT146" s="494"/>
      <c r="AU146" s="494"/>
      <c r="AV146" s="494"/>
      <c r="AW146" s="653"/>
      <c r="AY146" s="494"/>
      <c r="AZ146" s="494"/>
      <c r="BA146" s="494"/>
      <c r="BB146" s="494"/>
      <c r="BC146" s="494"/>
      <c r="BD146" s="494"/>
      <c r="BE146" s="494"/>
      <c r="BF146" s="494"/>
      <c r="BG146" s="494"/>
      <c r="BH146" s="494"/>
      <c r="BI146" s="494"/>
      <c r="BJ146" s="494"/>
      <c r="BK146" s="494"/>
      <c r="BL146" s="494"/>
      <c r="BM146" s="494"/>
      <c r="BN146" s="494"/>
      <c r="BP146" s="502"/>
      <c r="BQ146" s="497"/>
      <c r="BR146" s="497"/>
      <c r="BS146" s="81"/>
    </row>
    <row r="147" spans="19:71" ht="15" hidden="1" customHeight="1" x14ac:dyDescent="0.3">
      <c r="S147" s="81"/>
      <c r="T147" s="81"/>
      <c r="U147" s="270"/>
      <c r="V147" s="270"/>
      <c r="W147" s="270"/>
      <c r="X147" s="269"/>
      <c r="Y147" s="269"/>
      <c r="Z147" s="269"/>
      <c r="AA147" s="268"/>
      <c r="AB147" s="269"/>
      <c r="AC147" s="269"/>
      <c r="AD147" s="269"/>
      <c r="AE147" s="270"/>
      <c r="AF147" s="271"/>
      <c r="AG147" s="271"/>
      <c r="AH147" s="271"/>
      <c r="AI147" s="272"/>
      <c r="AJ147" s="272"/>
      <c r="AK147" s="272"/>
      <c r="AL147" s="505" t="s">
        <v>848</v>
      </c>
      <c r="AM147" s="452" t="str">
        <f>IF(AQ128=6,ROUND(AM146,2)," ")</f>
        <v xml:space="preserve"> </v>
      </c>
      <c r="AN147" s="271"/>
      <c r="AO147" s="271"/>
      <c r="AP147" s="494"/>
      <c r="AQ147" s="494"/>
      <c r="AR147" s="494"/>
      <c r="AS147" s="494"/>
      <c r="AT147" s="494"/>
      <c r="AU147" s="494"/>
      <c r="AV147" s="494"/>
      <c r="AW147" s="653"/>
      <c r="AY147" s="494"/>
      <c r="AZ147" s="494"/>
      <c r="BA147" s="494"/>
      <c r="BB147" s="494"/>
      <c r="BC147" s="494"/>
      <c r="BD147" s="494"/>
      <c r="BE147" s="494"/>
      <c r="BF147" s="494"/>
      <c r="BG147" s="494"/>
      <c r="BH147" s="494"/>
      <c r="BI147" s="494"/>
      <c r="BJ147" s="494"/>
      <c r="BK147" s="494"/>
      <c r="BL147" s="494"/>
      <c r="BM147" s="494"/>
      <c r="BN147" s="494"/>
      <c r="BP147" s="502"/>
      <c r="BQ147" s="497"/>
      <c r="BR147" s="497"/>
      <c r="BS147" s="81"/>
    </row>
    <row r="148" spans="19:71" ht="15" hidden="1" customHeight="1" x14ac:dyDescent="0.3">
      <c r="S148" s="81"/>
      <c r="T148" s="81"/>
      <c r="U148" s="270"/>
      <c r="V148" s="270"/>
      <c r="W148" s="270"/>
      <c r="X148" s="269"/>
      <c r="Y148" s="269"/>
      <c r="Z148" s="269"/>
      <c r="AA148" s="268"/>
      <c r="AB148" s="269"/>
      <c r="AC148" s="269"/>
      <c r="AD148" s="269"/>
      <c r="AE148" s="270"/>
      <c r="AF148" s="271"/>
      <c r="AG148" s="271"/>
      <c r="AH148" s="271"/>
      <c r="AI148" s="272"/>
      <c r="AJ148" s="272"/>
      <c r="AK148" s="272"/>
      <c r="AL148" s="271"/>
      <c r="AM148" s="271"/>
      <c r="AN148" s="271"/>
      <c r="AO148" s="271"/>
      <c r="AP148" s="494"/>
      <c r="AQ148" s="494"/>
      <c r="AR148" s="494"/>
      <c r="AS148" s="494"/>
      <c r="AT148" s="494"/>
      <c r="AU148" s="494"/>
      <c r="AV148" s="494"/>
      <c r="AW148" s="653"/>
      <c r="AY148" s="494"/>
      <c r="AZ148" s="494"/>
      <c r="BA148" s="494"/>
      <c r="BB148" s="494"/>
      <c r="BC148" s="494"/>
      <c r="BD148" s="494"/>
      <c r="BE148" s="494"/>
      <c r="BF148" s="494"/>
      <c r="BG148" s="494"/>
      <c r="BH148" s="494"/>
      <c r="BI148" s="494"/>
      <c r="BJ148" s="494"/>
      <c r="BK148" s="494"/>
      <c r="BL148" s="494"/>
      <c r="BM148" s="494"/>
      <c r="BN148" s="494"/>
      <c r="BP148" s="502"/>
      <c r="BQ148" s="497"/>
      <c r="BR148" s="497"/>
      <c r="BS148" s="81"/>
    </row>
    <row r="149" spans="19:71" ht="15" hidden="1" customHeight="1" x14ac:dyDescent="0.3">
      <c r="S149" s="81"/>
      <c r="T149" s="81"/>
      <c r="U149" s="216"/>
      <c r="V149" s="216"/>
      <c r="W149" s="216"/>
      <c r="X149" s="268"/>
      <c r="Y149" s="268"/>
      <c r="Z149" s="268"/>
      <c r="AA149" s="268"/>
      <c r="AB149" s="269"/>
      <c r="AC149" s="269"/>
      <c r="AD149" s="269"/>
      <c r="AE149" s="270"/>
      <c r="AF149" s="271"/>
      <c r="AG149" s="271"/>
      <c r="AH149" s="271"/>
      <c r="AI149" s="272"/>
      <c r="AJ149" s="272"/>
      <c r="AK149" s="272"/>
      <c r="AL149" s="271"/>
      <c r="AM149" s="271"/>
      <c r="AN149" s="271"/>
      <c r="AO149" s="271"/>
      <c r="AP149" s="494"/>
      <c r="AQ149" s="494"/>
      <c r="AR149" s="494"/>
      <c r="AS149" s="494"/>
      <c r="AT149" s="494"/>
      <c r="AU149" s="494"/>
      <c r="AV149" s="494"/>
      <c r="AW149" s="653"/>
      <c r="AY149" s="494"/>
      <c r="AZ149" s="494"/>
      <c r="BA149" s="494"/>
      <c r="BB149" s="494"/>
      <c r="BC149" s="494"/>
      <c r="BD149" s="494"/>
      <c r="BE149" s="494"/>
      <c r="BF149" s="494"/>
      <c r="BG149" s="494"/>
      <c r="BH149" s="494"/>
      <c r="BI149" s="494"/>
      <c r="BJ149" s="494"/>
      <c r="BK149" s="494"/>
      <c r="BL149" s="494"/>
      <c r="BM149" s="494"/>
      <c r="BN149" s="494"/>
      <c r="BP149" s="502"/>
      <c r="BQ149" s="497"/>
      <c r="BR149" s="497"/>
      <c r="BS149" s="81"/>
    </row>
    <row r="150" spans="19:71" ht="15" hidden="1" customHeight="1" x14ac:dyDescent="0.3">
      <c r="S150" s="81"/>
      <c r="T150" s="81"/>
      <c r="U150" s="216"/>
      <c r="V150" s="216"/>
      <c r="W150" s="216"/>
      <c r="X150" s="268"/>
      <c r="Y150" s="268"/>
      <c r="Z150" s="268"/>
      <c r="AA150" s="268"/>
      <c r="AB150" s="269"/>
      <c r="AC150" s="269"/>
      <c r="AD150" s="269"/>
      <c r="AE150" s="270"/>
      <c r="AF150" s="271"/>
      <c r="AG150" s="271"/>
      <c r="AH150" s="271"/>
      <c r="AI150" s="272"/>
      <c r="AJ150" s="272"/>
      <c r="AK150" s="272"/>
      <c r="AL150" s="271"/>
      <c r="AM150" s="271"/>
      <c r="AN150" s="271"/>
      <c r="AO150" s="271"/>
      <c r="AP150" s="494"/>
      <c r="AQ150" s="494"/>
      <c r="AR150" s="494"/>
      <c r="AS150" s="494"/>
      <c r="AT150" s="494"/>
      <c r="AU150" s="494"/>
      <c r="AV150" s="494"/>
      <c r="AW150" s="653"/>
      <c r="AY150" s="494"/>
      <c r="AZ150" s="494"/>
      <c r="BA150" s="494"/>
      <c r="BB150" s="494"/>
      <c r="BC150" s="494"/>
      <c r="BD150" s="494"/>
      <c r="BE150" s="494"/>
      <c r="BF150" s="494"/>
      <c r="BG150" s="494"/>
      <c r="BH150" s="494"/>
      <c r="BI150" s="494"/>
      <c r="BJ150" s="494"/>
      <c r="BK150" s="494"/>
      <c r="BL150" s="494"/>
      <c r="BM150" s="494"/>
      <c r="BN150" s="494"/>
      <c r="BP150" s="506"/>
      <c r="BQ150" s="497"/>
      <c r="BR150" s="497"/>
      <c r="BS150" s="81"/>
    </row>
    <row r="151" spans="19:71" ht="15" hidden="1" customHeight="1" x14ac:dyDescent="0.3">
      <c r="S151" s="81"/>
      <c r="T151" s="81"/>
      <c r="U151" s="216"/>
      <c r="V151" s="216"/>
      <c r="W151" s="216"/>
      <c r="X151" s="268"/>
      <c r="Y151" s="268"/>
      <c r="Z151" s="268"/>
      <c r="AA151" s="268"/>
      <c r="AB151" s="269"/>
      <c r="AC151" s="269"/>
      <c r="AD151" s="269"/>
      <c r="AE151" s="270"/>
      <c r="AF151" s="271"/>
      <c r="AG151" s="271"/>
      <c r="AH151" s="271"/>
      <c r="AI151" s="272"/>
      <c r="AJ151" s="272"/>
      <c r="AK151" s="272"/>
      <c r="AL151" s="271"/>
      <c r="AM151" s="271"/>
      <c r="AN151" s="271"/>
      <c r="AO151" s="271"/>
      <c r="AP151" s="494"/>
      <c r="AQ151" s="494"/>
      <c r="AR151" s="494"/>
      <c r="AS151" s="494"/>
      <c r="AT151" s="494"/>
      <c r="AU151" s="494"/>
      <c r="AV151" s="494"/>
      <c r="AW151" s="653"/>
      <c r="AY151" s="494"/>
      <c r="AZ151" s="494"/>
      <c r="BA151" s="494"/>
      <c r="BB151" s="494"/>
      <c r="BC151" s="494"/>
      <c r="BD151" s="494"/>
      <c r="BE151" s="494"/>
      <c r="BF151" s="494"/>
      <c r="BG151" s="494"/>
      <c r="BH151" s="494"/>
      <c r="BI151" s="494"/>
      <c r="BJ151" s="494"/>
      <c r="BK151" s="494"/>
      <c r="BL151" s="494"/>
      <c r="BM151" s="494"/>
      <c r="BN151" s="495"/>
      <c r="BO151" s="495"/>
      <c r="BP151" s="502"/>
      <c r="BQ151" s="497"/>
      <c r="BR151" s="497"/>
      <c r="BS151" s="81"/>
    </row>
    <row r="152" spans="19:71" ht="15" hidden="1" customHeight="1" x14ac:dyDescent="0.3">
      <c r="S152" s="81"/>
      <c r="T152" s="81"/>
      <c r="U152" s="270"/>
      <c r="V152" s="270"/>
      <c r="W152" s="270"/>
      <c r="X152" s="269"/>
      <c r="Y152" s="269"/>
      <c r="Z152" s="268"/>
      <c r="AA152" s="268"/>
      <c r="AB152" s="269"/>
      <c r="AC152" s="269"/>
      <c r="AD152" s="269"/>
      <c r="AE152" s="270"/>
      <c r="AF152" s="271"/>
      <c r="AG152" s="271"/>
      <c r="AH152" s="271"/>
      <c r="AI152" s="272"/>
      <c r="AJ152" s="272"/>
      <c r="AK152" s="272"/>
      <c r="AL152" s="271"/>
      <c r="AM152" s="271"/>
      <c r="AN152" s="271"/>
      <c r="AO152" s="271"/>
      <c r="AP152" s="494"/>
      <c r="AQ152" s="494"/>
      <c r="AR152" s="494"/>
      <c r="AS152" s="494"/>
      <c r="AT152" s="494"/>
      <c r="AU152" s="494"/>
      <c r="AV152" s="494"/>
      <c r="AW152" s="653"/>
      <c r="AY152" s="494"/>
      <c r="AZ152" s="494"/>
      <c r="BA152" s="494"/>
      <c r="BB152" s="494"/>
      <c r="BC152" s="494"/>
      <c r="BD152" s="494"/>
      <c r="BE152" s="494"/>
      <c r="BF152" s="494"/>
      <c r="BG152" s="495"/>
      <c r="BH152" s="495"/>
      <c r="BI152" s="495"/>
      <c r="BJ152" s="495"/>
      <c r="BK152" s="495"/>
      <c r="BL152" s="495"/>
      <c r="BM152" s="495"/>
      <c r="BN152" s="496"/>
      <c r="BO152" s="496"/>
      <c r="BP152" s="502"/>
      <c r="BQ152" s="497"/>
      <c r="BR152" s="497"/>
      <c r="BS152" s="81"/>
    </row>
    <row r="153" spans="19:71" ht="15" hidden="1" customHeight="1" x14ac:dyDescent="0.3">
      <c r="T153" s="81"/>
      <c r="U153" s="270"/>
      <c r="V153" s="270"/>
      <c r="W153" s="270"/>
      <c r="X153" s="269"/>
      <c r="Y153" s="269"/>
      <c r="Z153" s="268"/>
      <c r="AA153" s="268"/>
      <c r="AB153" s="269"/>
      <c r="AC153" s="269"/>
      <c r="AD153" s="269"/>
      <c r="AE153" s="270"/>
      <c r="AF153" s="271"/>
      <c r="AG153" s="271"/>
      <c r="AH153" s="271"/>
      <c r="AI153" s="272"/>
      <c r="AJ153" s="272"/>
      <c r="AK153" s="272"/>
      <c r="AL153" s="271"/>
      <c r="AM153" s="271"/>
      <c r="AN153" s="271"/>
      <c r="AO153" s="271"/>
      <c r="AP153" s="494"/>
      <c r="AQ153" s="494"/>
      <c r="AR153" s="494"/>
      <c r="AS153" s="494"/>
      <c r="AT153" s="494"/>
      <c r="AU153" s="494"/>
      <c r="AV153" s="494"/>
      <c r="AW153" s="653"/>
      <c r="AY153" s="494"/>
      <c r="AZ153" s="494"/>
      <c r="BA153" s="494"/>
      <c r="BB153" s="494"/>
      <c r="BC153" s="494"/>
      <c r="BD153" s="494"/>
      <c r="BE153" s="494"/>
      <c r="BF153" s="494"/>
      <c r="BG153" s="496"/>
      <c r="BH153" s="496"/>
      <c r="BI153" s="496"/>
      <c r="BJ153" s="496"/>
      <c r="BK153" s="496"/>
      <c r="BL153" s="496"/>
      <c r="BM153" s="496"/>
      <c r="BN153" s="501"/>
      <c r="BO153" s="501"/>
      <c r="BP153" s="502"/>
      <c r="BQ153" s="497"/>
      <c r="BR153" s="497"/>
      <c r="BS153" s="81"/>
    </row>
    <row r="154" spans="19:71" ht="15" hidden="1" customHeight="1" x14ac:dyDescent="0.3">
      <c r="T154" s="81"/>
      <c r="U154" s="489"/>
      <c r="V154" s="489"/>
      <c r="W154" s="489"/>
      <c r="X154" s="344"/>
      <c r="Y154" s="344"/>
      <c r="Z154" s="66"/>
      <c r="AA154" s="8"/>
      <c r="AB154" s="81"/>
      <c r="AC154" s="81"/>
      <c r="AD154" s="81"/>
      <c r="AE154" s="473"/>
      <c r="AG154" s="495"/>
      <c r="AH154" s="495"/>
      <c r="AI154" s="495"/>
      <c r="AJ154" s="495"/>
      <c r="AK154" s="495"/>
      <c r="AL154" s="495"/>
      <c r="AM154" s="495"/>
      <c r="AN154" s="495"/>
      <c r="AO154" s="495"/>
      <c r="AP154" s="495"/>
      <c r="AQ154" s="495"/>
      <c r="AR154" s="495"/>
      <c r="AS154" s="495"/>
      <c r="AT154" s="495"/>
      <c r="AU154" s="495"/>
      <c r="AV154" s="495"/>
      <c r="AW154" s="653"/>
      <c r="AX154" s="495"/>
      <c r="AY154" s="495"/>
      <c r="AZ154" s="495"/>
      <c r="BA154" s="495"/>
      <c r="BB154" s="495"/>
      <c r="BC154" s="495"/>
      <c r="BD154" s="495"/>
      <c r="BE154" s="495"/>
      <c r="BF154" s="495"/>
      <c r="BG154" s="501"/>
      <c r="BH154" s="501"/>
      <c r="BI154" s="501"/>
      <c r="BJ154" s="501"/>
      <c r="BK154" s="501"/>
      <c r="BL154" s="501"/>
      <c r="BM154" s="501"/>
      <c r="BN154" s="502"/>
      <c r="BO154" s="502"/>
      <c r="BP154" s="502"/>
      <c r="BQ154" s="497"/>
      <c r="BR154" s="497"/>
      <c r="BS154" s="81"/>
    </row>
    <row r="155" spans="19:71" ht="15" hidden="1" customHeight="1" x14ac:dyDescent="0.3">
      <c r="U155" s="489"/>
      <c r="V155" s="489"/>
      <c r="W155" s="489"/>
      <c r="X155" s="344"/>
      <c r="Y155" s="344"/>
      <c r="Z155" s="66"/>
      <c r="AA155" s="8"/>
      <c r="AB155" s="81"/>
      <c r="AC155" s="81"/>
      <c r="AD155" s="81"/>
      <c r="AE155" s="473"/>
      <c r="AG155" s="507"/>
      <c r="AH155" s="507"/>
      <c r="AI155" s="507"/>
      <c r="AJ155" s="507"/>
      <c r="AK155" s="507"/>
      <c r="AL155" s="508"/>
      <c r="AM155" s="496"/>
      <c r="AN155" s="496"/>
      <c r="AO155" s="496"/>
      <c r="AP155" s="496"/>
      <c r="AQ155" s="496"/>
      <c r="AR155" s="496"/>
      <c r="AS155" s="496"/>
      <c r="AT155" s="496"/>
      <c r="AU155" s="496"/>
      <c r="AV155" s="496"/>
      <c r="AW155" s="658"/>
      <c r="AX155" s="496"/>
      <c r="AY155" s="496"/>
      <c r="AZ155" s="496"/>
      <c r="BA155" s="496"/>
      <c r="BB155" s="496"/>
      <c r="BC155" s="496"/>
      <c r="BD155" s="496"/>
      <c r="BE155" s="496"/>
      <c r="BF155" s="496"/>
      <c r="BG155" s="502"/>
      <c r="BH155" s="502"/>
      <c r="BI155" s="502"/>
      <c r="BJ155" s="502"/>
      <c r="BK155" s="502"/>
      <c r="BL155" s="502"/>
      <c r="BM155" s="502"/>
      <c r="BN155" s="502"/>
      <c r="BO155" s="502"/>
      <c r="BP155" s="502"/>
      <c r="BQ155" s="497"/>
      <c r="BR155" s="497"/>
      <c r="BS155" s="81"/>
    </row>
    <row r="156" spans="19:71" ht="15" hidden="1" customHeight="1" x14ac:dyDescent="0.3">
      <c r="U156" s="489"/>
      <c r="V156" s="489"/>
      <c r="W156" s="489"/>
      <c r="X156" s="344"/>
      <c r="Y156" s="344"/>
      <c r="Z156" s="66"/>
      <c r="AA156" s="8"/>
      <c r="AB156" s="81"/>
      <c r="AC156" s="81"/>
      <c r="AD156" s="81"/>
      <c r="AE156" s="473"/>
      <c r="AG156" s="501"/>
      <c r="AH156" s="501"/>
      <c r="AI156" s="501"/>
      <c r="AJ156" s="501"/>
      <c r="AK156" s="501"/>
      <c r="AL156" s="501"/>
      <c r="AM156" s="501"/>
      <c r="AN156" s="501"/>
      <c r="AO156" s="501"/>
      <c r="AP156" s="501"/>
      <c r="AQ156" s="501">
        <f>20*60</f>
        <v>1200</v>
      </c>
      <c r="AR156" s="501"/>
      <c r="AS156" s="501"/>
      <c r="AT156" s="501"/>
      <c r="AU156" s="501"/>
      <c r="AV156" s="501"/>
      <c r="AW156" s="659"/>
      <c r="AX156" s="501"/>
      <c r="AY156" s="501"/>
      <c r="AZ156" s="501"/>
      <c r="BA156" s="501"/>
      <c r="BB156" s="501"/>
      <c r="BC156" s="501"/>
      <c r="BD156" s="501"/>
      <c r="BE156" s="501"/>
      <c r="BF156" s="501"/>
      <c r="BG156" s="502"/>
      <c r="BH156" s="502"/>
      <c r="BI156" s="502"/>
      <c r="BJ156" s="502"/>
      <c r="BK156" s="502"/>
      <c r="BL156" s="502"/>
      <c r="BM156" s="502"/>
      <c r="BN156" s="501"/>
      <c r="BO156" s="501"/>
      <c r="BP156" s="502"/>
      <c r="BQ156" s="497"/>
      <c r="BR156" s="497"/>
      <c r="BS156" s="81"/>
    </row>
    <row r="157" spans="19:71" ht="15" hidden="1" customHeight="1" x14ac:dyDescent="0.3">
      <c r="U157" s="489"/>
      <c r="V157" s="489"/>
      <c r="W157" s="489"/>
      <c r="X157" s="344"/>
      <c r="Y157" s="344"/>
      <c r="Z157" s="66"/>
      <c r="AA157" s="8"/>
      <c r="AB157" s="81"/>
      <c r="AC157" s="81"/>
      <c r="AD157" s="81"/>
      <c r="AE157" s="473"/>
      <c r="AG157" s="507"/>
      <c r="AH157" s="509"/>
      <c r="AI157" s="509"/>
      <c r="AJ157" s="509"/>
      <c r="AK157" s="509"/>
      <c r="AL157" s="508"/>
      <c r="AM157" s="502"/>
      <c r="AN157" s="502"/>
      <c r="AO157" s="502"/>
      <c r="AP157" s="502"/>
      <c r="AQ157" s="502"/>
      <c r="AR157" s="502"/>
      <c r="AS157" s="502"/>
      <c r="AT157" s="502"/>
      <c r="AU157" s="502"/>
      <c r="AV157" s="502"/>
      <c r="AW157" s="660"/>
      <c r="AX157" s="502"/>
      <c r="AY157" s="502"/>
      <c r="AZ157" s="502"/>
      <c r="BA157" s="502"/>
      <c r="BB157" s="502"/>
      <c r="BC157" s="502"/>
      <c r="BD157" s="502"/>
      <c r="BE157" s="502"/>
      <c r="BF157" s="502"/>
      <c r="BG157" s="501"/>
      <c r="BH157" s="501"/>
      <c r="BI157" s="501"/>
      <c r="BJ157" s="501"/>
      <c r="BK157" s="501"/>
      <c r="BL157" s="501"/>
      <c r="BM157" s="501"/>
      <c r="BN157" s="502"/>
      <c r="BO157" s="502"/>
      <c r="BP157" s="506"/>
      <c r="BQ157" s="497"/>
      <c r="BR157" s="497"/>
      <c r="BS157" s="81"/>
    </row>
    <row r="158" spans="19:71" ht="15" hidden="1" customHeight="1" x14ac:dyDescent="0.3">
      <c r="U158" s="510"/>
      <c r="V158" s="510"/>
      <c r="W158" s="510"/>
      <c r="X158" s="511"/>
      <c r="Y158" s="511"/>
      <c r="Z158" s="376"/>
      <c r="AA158" s="8"/>
      <c r="AB158" s="81"/>
      <c r="AC158" s="81"/>
      <c r="AD158" s="81"/>
      <c r="AE158" s="473"/>
      <c r="AG158" s="507"/>
      <c r="AH158" s="509"/>
      <c r="AI158" s="509"/>
      <c r="AJ158" s="509"/>
      <c r="AK158" s="509"/>
      <c r="AL158" s="508"/>
      <c r="AM158" s="502"/>
      <c r="AN158" s="502"/>
      <c r="AO158" s="502"/>
      <c r="AP158" s="502"/>
      <c r="AQ158" s="502"/>
      <c r="AR158" s="502"/>
      <c r="AS158" s="502"/>
      <c r="AT158" s="502"/>
      <c r="AU158" s="502"/>
      <c r="AV158" s="502"/>
      <c r="AW158" s="660"/>
      <c r="AX158" s="502"/>
      <c r="AY158" s="502"/>
      <c r="AZ158" s="502"/>
      <c r="BA158" s="502"/>
      <c r="BB158" s="502"/>
      <c r="BC158" s="502"/>
      <c r="BD158" s="502"/>
      <c r="BE158" s="502"/>
      <c r="BF158" s="502"/>
      <c r="BG158" s="502"/>
      <c r="BH158" s="502"/>
      <c r="BI158" s="502"/>
      <c r="BJ158" s="502"/>
      <c r="BK158" s="502"/>
      <c r="BL158" s="502"/>
      <c r="BM158" s="502"/>
      <c r="BN158" s="502"/>
      <c r="BO158" s="502"/>
      <c r="BP158" s="502"/>
      <c r="BQ158" s="497"/>
      <c r="BR158" s="497"/>
      <c r="BS158" s="81"/>
    </row>
    <row r="159" spans="19:71" ht="15" hidden="1" customHeight="1" x14ac:dyDescent="0.3">
      <c r="U159" s="489"/>
      <c r="V159" s="489"/>
      <c r="W159" s="489"/>
      <c r="X159" s="344"/>
      <c r="Y159" s="344"/>
      <c r="Z159" s="66"/>
      <c r="AA159" s="8"/>
      <c r="AB159" s="81"/>
      <c r="AC159" s="81"/>
      <c r="AD159" s="81"/>
      <c r="AE159" s="473"/>
      <c r="AG159" s="512"/>
      <c r="AH159" s="501"/>
      <c r="AI159" s="501"/>
      <c r="AJ159" s="501"/>
      <c r="AK159" s="501"/>
      <c r="AL159" s="512"/>
      <c r="AM159" s="501"/>
      <c r="AN159" s="501"/>
      <c r="AO159" s="501"/>
      <c r="AP159" s="501"/>
      <c r="AQ159" s="501"/>
      <c r="AR159" s="501"/>
      <c r="AS159" s="501"/>
      <c r="AT159" s="501"/>
      <c r="AU159" s="501"/>
      <c r="AV159" s="501"/>
      <c r="AW159" s="659"/>
      <c r="AX159" s="501"/>
      <c r="AY159" s="501"/>
      <c r="AZ159" s="501"/>
      <c r="BA159" s="501"/>
      <c r="BB159" s="501"/>
      <c r="BC159" s="501"/>
      <c r="BD159" s="501"/>
      <c r="BE159" s="501"/>
      <c r="BF159" s="501"/>
      <c r="BG159" s="502"/>
      <c r="BH159" s="502"/>
      <c r="BI159" s="502"/>
      <c r="BJ159" s="502"/>
      <c r="BK159" s="502"/>
      <c r="BL159" s="502"/>
      <c r="BM159" s="502"/>
      <c r="BN159" s="502"/>
      <c r="BO159" s="502"/>
      <c r="BP159" s="502"/>
      <c r="BQ159" s="497"/>
      <c r="BR159" s="497"/>
      <c r="BS159" s="81"/>
    </row>
    <row r="160" spans="19:71" ht="15" hidden="1" customHeight="1" x14ac:dyDescent="0.3">
      <c r="U160" s="489"/>
      <c r="V160" s="489"/>
      <c r="W160" s="489"/>
      <c r="X160" s="344"/>
      <c r="Y160" s="344"/>
      <c r="Z160" s="66"/>
      <c r="AA160" s="8"/>
      <c r="AB160" s="81"/>
      <c r="AC160" s="81"/>
      <c r="AD160" s="81"/>
      <c r="AE160" s="473"/>
      <c r="AG160" s="507"/>
      <c r="AH160" s="509"/>
      <c r="AI160" s="509"/>
      <c r="AJ160" s="509"/>
      <c r="AK160" s="509"/>
      <c r="AL160" s="508"/>
      <c r="AM160" s="502"/>
      <c r="AN160" s="502"/>
      <c r="AO160" s="502"/>
      <c r="AP160" s="502"/>
      <c r="AQ160" s="502"/>
      <c r="AR160" s="502"/>
      <c r="AS160" s="502"/>
      <c r="AT160" s="502"/>
      <c r="AU160" s="502"/>
      <c r="AV160" s="502"/>
      <c r="AW160" s="660"/>
      <c r="AX160" s="502"/>
      <c r="AY160" s="502"/>
      <c r="AZ160" s="502"/>
      <c r="BA160" s="502"/>
      <c r="BB160" s="502"/>
      <c r="BC160" s="502"/>
      <c r="BD160" s="502"/>
      <c r="BE160" s="502"/>
      <c r="BF160" s="502"/>
      <c r="BG160" s="502"/>
      <c r="BH160" s="502"/>
      <c r="BI160" s="502"/>
      <c r="BJ160" s="502"/>
      <c r="BK160" s="502"/>
      <c r="BL160" s="502"/>
      <c r="BM160" s="502"/>
      <c r="BN160" s="502"/>
      <c r="BO160" s="502"/>
      <c r="BP160" s="506"/>
      <c r="BQ160" s="497"/>
      <c r="BR160" s="497"/>
      <c r="BS160" s="81"/>
    </row>
    <row r="161" spans="21:71" ht="15" hidden="1" customHeight="1" x14ac:dyDescent="0.25">
      <c r="U161" s="872" t="s">
        <v>865</v>
      </c>
      <c r="V161" s="872"/>
      <c r="W161" s="872"/>
      <c r="X161" s="873"/>
      <c r="Y161" s="873"/>
      <c r="Z161" s="874"/>
      <c r="AA161" s="218"/>
      <c r="AB161" s="804"/>
      <c r="AC161" s="804"/>
      <c r="AD161" s="804"/>
      <c r="AE161" s="262"/>
      <c r="AF161" s="355"/>
      <c r="AG161" s="335"/>
      <c r="AH161" s="804"/>
      <c r="AI161" s="804"/>
      <c r="AJ161" s="804"/>
      <c r="AK161" s="804"/>
      <c r="AL161" s="528"/>
      <c r="AM161" s="464"/>
      <c r="AN161" s="464"/>
      <c r="AO161" s="502"/>
      <c r="AP161" s="502"/>
      <c r="AQ161" s="502"/>
      <c r="AR161" s="502"/>
      <c r="AS161" s="502"/>
      <c r="AT161" s="502"/>
      <c r="AU161" s="502"/>
      <c r="AV161" s="502"/>
      <c r="AW161" s="660"/>
      <c r="AX161" s="502"/>
      <c r="AY161" s="502"/>
      <c r="AZ161" s="502"/>
      <c r="BA161" s="502"/>
      <c r="BB161" s="502"/>
      <c r="BC161" s="502"/>
      <c r="BD161" s="502"/>
      <c r="BE161" s="502"/>
      <c r="BF161" s="502"/>
      <c r="BG161" s="502"/>
      <c r="BH161" s="502"/>
      <c r="BI161" s="502"/>
      <c r="BJ161" s="502"/>
      <c r="BK161" s="502"/>
      <c r="BL161" s="502"/>
      <c r="BM161" s="502"/>
      <c r="BN161" s="502"/>
      <c r="BO161" s="502"/>
      <c r="BP161" s="508"/>
      <c r="BQ161" s="508"/>
      <c r="BR161" s="508"/>
      <c r="BS161" s="81"/>
    </row>
    <row r="162" spans="21:71" ht="15" hidden="1" customHeight="1" x14ac:dyDescent="0.25">
      <c r="U162" s="297" t="s">
        <v>798</v>
      </c>
      <c r="V162" s="298"/>
      <c r="W162" s="298"/>
      <c r="X162" s="299"/>
      <c r="Y162" s="300"/>
      <c r="Z162" s="301"/>
      <c r="AA162" s="276"/>
      <c r="AB162" s="302" t="s">
        <v>799</v>
      </c>
      <c r="AC162" s="695"/>
      <c r="AD162" s="695"/>
      <c r="AE162" s="303"/>
      <c r="AF162" s="304"/>
      <c r="AG162" s="305"/>
      <c r="AH162" s="276"/>
      <c r="AI162" s="306" t="s">
        <v>800</v>
      </c>
      <c r="AJ162" s="696"/>
      <c r="AK162" s="696"/>
      <c r="AL162" s="307"/>
      <c r="AM162" s="308"/>
      <c r="AN162" s="309"/>
      <c r="AO162" s="502"/>
      <c r="AP162" s="502"/>
      <c r="AQ162" s="502"/>
      <c r="AR162" s="502"/>
      <c r="AS162" s="502"/>
      <c r="AT162" s="502"/>
      <c r="AU162" s="502"/>
      <c r="AV162" s="502"/>
      <c r="AW162" s="660"/>
      <c r="AX162" s="502"/>
      <c r="AY162" s="502"/>
      <c r="AZ162" s="502"/>
      <c r="BA162" s="502"/>
      <c r="BB162" s="502"/>
      <c r="BC162" s="502"/>
      <c r="BD162" s="502"/>
      <c r="BE162" s="502"/>
      <c r="BF162" s="502"/>
      <c r="BG162" s="502"/>
      <c r="BH162" s="502"/>
      <c r="BI162" s="502"/>
      <c r="BJ162" s="502"/>
      <c r="BK162" s="502"/>
      <c r="BL162" s="502"/>
      <c r="BM162" s="502"/>
      <c r="BN162" s="502"/>
      <c r="BO162" s="502"/>
      <c r="BP162" s="508"/>
      <c r="BQ162" s="508"/>
      <c r="BR162" s="508"/>
      <c r="BS162" s="81"/>
    </row>
    <row r="163" spans="21:71" ht="15" hidden="1" customHeight="1" x14ac:dyDescent="0.25">
      <c r="U163" s="1517" t="s">
        <v>808</v>
      </c>
      <c r="V163" s="1518"/>
      <c r="W163" s="1519"/>
      <c r="X163" s="315" t="s">
        <v>809</v>
      </c>
      <c r="Y163" s="315" t="s">
        <v>810</v>
      </c>
      <c r="Z163" s="315" t="s">
        <v>811</v>
      </c>
      <c r="AA163" s="276"/>
      <c r="AB163" s="316" t="s">
        <v>808</v>
      </c>
      <c r="AC163" s="316"/>
      <c r="AD163" s="316"/>
      <c r="AE163" s="803" t="s">
        <v>809</v>
      </c>
      <c r="AF163" s="803" t="s">
        <v>810</v>
      </c>
      <c r="AG163" s="803" t="s">
        <v>811</v>
      </c>
      <c r="AH163" s="260"/>
      <c r="AI163" s="316" t="s">
        <v>808</v>
      </c>
      <c r="AJ163" s="316"/>
      <c r="AK163" s="316"/>
      <c r="AL163" s="803" t="s">
        <v>809</v>
      </c>
      <c r="AM163" s="803" t="s">
        <v>810</v>
      </c>
      <c r="AN163" s="803" t="s">
        <v>811</v>
      </c>
      <c r="AO163" s="502"/>
      <c r="AP163" s="502"/>
      <c r="AQ163" s="502"/>
      <c r="AR163" s="502"/>
      <c r="AS163" s="502"/>
      <c r="AT163" s="502"/>
      <c r="AU163" s="502"/>
      <c r="AV163" s="502"/>
      <c r="AW163" s="660"/>
      <c r="AX163" s="502"/>
      <c r="AY163" s="502"/>
      <c r="AZ163" s="502"/>
      <c r="BA163" s="502"/>
      <c r="BB163" s="502"/>
      <c r="BC163" s="502"/>
      <c r="BD163" s="502"/>
      <c r="BE163" s="502"/>
      <c r="BF163" s="502"/>
      <c r="BG163" s="502"/>
      <c r="BH163" s="502"/>
      <c r="BI163" s="502"/>
      <c r="BJ163" s="502"/>
      <c r="BK163" s="502"/>
      <c r="BL163" s="502"/>
      <c r="BM163" s="502"/>
      <c r="BN163" s="506"/>
      <c r="BO163" s="506"/>
      <c r="BP163" s="9"/>
      <c r="BQ163" s="9"/>
      <c r="BR163" s="9"/>
      <c r="BS163" s="81"/>
    </row>
    <row r="164" spans="21:71" ht="15" hidden="1" customHeight="1" x14ac:dyDescent="0.25">
      <c r="U164" s="1504" t="s">
        <v>866</v>
      </c>
      <c r="V164" s="1505"/>
      <c r="W164" s="1506"/>
      <c r="X164" s="523">
        <v>20</v>
      </c>
      <c r="Y164" s="524">
        <v>54</v>
      </c>
      <c r="Z164" s="875" t="s">
        <v>760</v>
      </c>
      <c r="AA164" s="276"/>
      <c r="AB164" s="331" t="s">
        <v>867</v>
      </c>
      <c r="AC164" s="331"/>
      <c r="AD164" s="331"/>
      <c r="AE164" s="523">
        <v>20</v>
      </c>
      <c r="AF164" s="524">
        <v>60</v>
      </c>
      <c r="AG164" s="875" t="s">
        <v>763</v>
      </c>
      <c r="AH164" s="276"/>
      <c r="AI164" s="331" t="s">
        <v>868</v>
      </c>
      <c r="AJ164" s="331"/>
      <c r="AK164" s="331"/>
      <c r="AL164" s="523">
        <v>20</v>
      </c>
      <c r="AM164" s="524">
        <v>65</v>
      </c>
      <c r="AN164" s="875" t="s">
        <v>763</v>
      </c>
      <c r="AO164" s="502"/>
      <c r="AP164" s="502"/>
      <c r="AQ164" s="502"/>
      <c r="AR164" s="502"/>
      <c r="AS164" s="502"/>
      <c r="AT164" s="502"/>
      <c r="AU164" s="502"/>
      <c r="AV164" s="502"/>
      <c r="AW164" s="660"/>
      <c r="AX164" s="516">
        <v>54</v>
      </c>
      <c r="AY164" s="516">
        <v>60</v>
      </c>
      <c r="AZ164" s="516">
        <v>65</v>
      </c>
      <c r="BA164" s="502"/>
      <c r="BB164" s="502"/>
      <c r="BC164" s="502"/>
      <c r="BD164" s="502"/>
      <c r="BE164" s="502"/>
      <c r="BF164" s="502"/>
      <c r="BG164" s="506"/>
      <c r="BH164" s="506"/>
      <c r="BI164" s="506"/>
      <c r="BJ164" s="506"/>
      <c r="BK164" s="506"/>
      <c r="BL164" s="506"/>
      <c r="BM164" s="506"/>
      <c r="BN164" s="502"/>
      <c r="BO164" s="502"/>
      <c r="BS164" s="81"/>
    </row>
    <row r="165" spans="21:71" ht="15" hidden="1" customHeight="1" x14ac:dyDescent="0.25">
      <c r="U165" s="1504" t="s">
        <v>869</v>
      </c>
      <c r="V165" s="1505"/>
      <c r="W165" s="1506"/>
      <c r="X165" s="523">
        <v>20</v>
      </c>
      <c r="Y165" s="876">
        <v>60</v>
      </c>
      <c r="Z165" s="875" t="s">
        <v>763</v>
      </c>
      <c r="AA165" s="276"/>
      <c r="AB165" s="331" t="s">
        <v>870</v>
      </c>
      <c r="AC165" s="331"/>
      <c r="AD165" s="331"/>
      <c r="AE165" s="523">
        <v>20</v>
      </c>
      <c r="AF165" s="876">
        <v>61</v>
      </c>
      <c r="AG165" s="875" t="s">
        <v>763</v>
      </c>
      <c r="AH165" s="276"/>
      <c r="AI165" s="331" t="s">
        <v>871</v>
      </c>
      <c r="AJ165" s="331"/>
      <c r="AK165" s="331"/>
      <c r="AL165" s="523">
        <v>20</v>
      </c>
      <c r="AM165" s="876">
        <v>66</v>
      </c>
      <c r="AN165" s="875" t="s">
        <v>765</v>
      </c>
      <c r="AO165" s="502"/>
      <c r="AP165" s="502"/>
      <c r="AQ165" s="502"/>
      <c r="AR165" s="502"/>
      <c r="AS165" s="502"/>
      <c r="AT165" s="502"/>
      <c r="AU165" s="502"/>
      <c r="AV165" s="502"/>
      <c r="AW165" s="660"/>
      <c r="AX165" s="516">
        <v>60</v>
      </c>
      <c r="AY165" s="516">
        <v>61</v>
      </c>
      <c r="AZ165" s="516">
        <v>66</v>
      </c>
      <c r="BA165" s="502"/>
      <c r="BB165" s="502"/>
      <c r="BC165" s="502"/>
      <c r="BD165" s="502"/>
      <c r="BE165" s="502"/>
      <c r="BF165" s="502"/>
      <c r="BG165" s="502"/>
      <c r="BH165" s="502"/>
      <c r="BI165" s="502"/>
      <c r="BJ165" s="502"/>
      <c r="BK165" s="502"/>
      <c r="BL165" s="502"/>
      <c r="BM165" s="502"/>
      <c r="BN165" s="502"/>
      <c r="BO165" s="502"/>
    </row>
    <row r="166" spans="21:71" ht="15" hidden="1" customHeight="1" x14ac:dyDescent="0.25">
      <c r="U166" s="1504" t="s">
        <v>872</v>
      </c>
      <c r="V166" s="1505"/>
      <c r="W166" s="1506"/>
      <c r="X166" s="523">
        <v>20</v>
      </c>
      <c r="Y166" s="876">
        <v>62</v>
      </c>
      <c r="Z166" s="875" t="s">
        <v>763</v>
      </c>
      <c r="AA166" s="276"/>
      <c r="AB166" s="331" t="s">
        <v>873</v>
      </c>
      <c r="AC166" s="331"/>
      <c r="AD166" s="331"/>
      <c r="AE166" s="523">
        <v>20</v>
      </c>
      <c r="AF166" s="876">
        <v>62</v>
      </c>
      <c r="AG166" s="875" t="s">
        <v>763</v>
      </c>
      <c r="AH166" s="276"/>
      <c r="AI166" s="331" t="s">
        <v>874</v>
      </c>
      <c r="AJ166" s="331"/>
      <c r="AK166" s="331"/>
      <c r="AL166" s="523">
        <v>20</v>
      </c>
      <c r="AM166" s="876">
        <v>66</v>
      </c>
      <c r="AN166" s="875" t="s">
        <v>765</v>
      </c>
      <c r="AO166" s="506"/>
      <c r="AP166" s="506"/>
      <c r="AQ166" s="506"/>
      <c r="AR166" s="506"/>
      <c r="AS166" s="506"/>
      <c r="AT166" s="506"/>
      <c r="AU166" s="506"/>
      <c r="AV166" s="506"/>
      <c r="AW166" s="661"/>
      <c r="AX166" s="516">
        <v>62</v>
      </c>
      <c r="AY166" s="516">
        <v>62</v>
      </c>
      <c r="AZ166" s="516">
        <v>66</v>
      </c>
      <c r="BA166" s="506"/>
      <c r="BB166" s="506"/>
      <c r="BC166" s="506"/>
      <c r="BD166" s="506"/>
      <c r="BE166" s="506"/>
      <c r="BF166" s="506"/>
      <c r="BG166" s="502"/>
      <c r="BH166" s="502"/>
      <c r="BI166" s="502"/>
      <c r="BJ166" s="502"/>
      <c r="BK166" s="502"/>
      <c r="BL166" s="502"/>
      <c r="BM166" s="502"/>
      <c r="BN166" s="502"/>
      <c r="BO166" s="502"/>
    </row>
    <row r="167" spans="21:71" ht="15" hidden="1" customHeight="1" x14ac:dyDescent="0.25">
      <c r="U167" s="1504" t="s">
        <v>875</v>
      </c>
      <c r="V167" s="1505"/>
      <c r="W167" s="1506"/>
      <c r="X167" s="523">
        <v>20</v>
      </c>
      <c r="Y167" s="876">
        <v>65</v>
      </c>
      <c r="Z167" s="875" t="s">
        <v>765</v>
      </c>
      <c r="AA167" s="276"/>
      <c r="AB167" s="331" t="s">
        <v>876</v>
      </c>
      <c r="AC167" s="331"/>
      <c r="AD167" s="331"/>
      <c r="AE167" s="523">
        <v>20</v>
      </c>
      <c r="AF167" s="876">
        <v>66</v>
      </c>
      <c r="AG167" s="875" t="s">
        <v>764</v>
      </c>
      <c r="AH167" s="276"/>
      <c r="AI167" s="331" t="s">
        <v>877</v>
      </c>
      <c r="AJ167" s="331"/>
      <c r="AK167" s="331"/>
      <c r="AL167" s="523">
        <v>20</v>
      </c>
      <c r="AM167" s="876">
        <v>68</v>
      </c>
      <c r="AN167" s="875" t="s">
        <v>766</v>
      </c>
      <c r="AO167" s="502"/>
      <c r="AP167" s="502"/>
      <c r="AQ167" s="502"/>
      <c r="AR167" s="502"/>
      <c r="AS167" s="502"/>
      <c r="AT167" s="502"/>
      <c r="AU167" s="502"/>
      <c r="AV167" s="502"/>
      <c r="AW167" s="660"/>
      <c r="AX167" s="516">
        <v>65</v>
      </c>
      <c r="AY167" s="516">
        <v>66</v>
      </c>
      <c r="AZ167" s="516">
        <v>68</v>
      </c>
      <c r="BA167" s="502"/>
      <c r="BB167" s="502"/>
      <c r="BC167" s="502"/>
      <c r="BD167" s="502"/>
      <c r="BE167" s="502"/>
      <c r="BF167" s="502"/>
      <c r="BG167" s="502"/>
      <c r="BH167" s="502"/>
      <c r="BI167" s="502"/>
      <c r="BJ167" s="502"/>
      <c r="BK167" s="502"/>
      <c r="BL167" s="502"/>
      <c r="BM167" s="502"/>
      <c r="BN167" s="502"/>
      <c r="BO167" s="502"/>
    </row>
    <row r="168" spans="21:71" ht="15" hidden="1" customHeight="1" x14ac:dyDescent="0.25">
      <c r="U168" s="1504" t="s">
        <v>878</v>
      </c>
      <c r="V168" s="1505"/>
      <c r="W168" s="1506"/>
      <c r="X168" s="523">
        <v>20</v>
      </c>
      <c r="Y168" s="876">
        <v>70</v>
      </c>
      <c r="Z168" s="875" t="s">
        <v>767</v>
      </c>
      <c r="AA168" s="276"/>
      <c r="AB168" s="331" t="s">
        <v>879</v>
      </c>
      <c r="AC168" s="331"/>
      <c r="AD168" s="331"/>
      <c r="AE168" s="523">
        <v>20</v>
      </c>
      <c r="AF168" s="876">
        <v>67</v>
      </c>
      <c r="AG168" s="875" t="s">
        <v>765</v>
      </c>
      <c r="AH168" s="276"/>
      <c r="AI168" s="331" t="s">
        <v>880</v>
      </c>
      <c r="AJ168" s="331"/>
      <c r="AK168" s="331"/>
      <c r="AL168" s="523">
        <v>20</v>
      </c>
      <c r="AM168" s="876">
        <v>68</v>
      </c>
      <c r="AN168" s="875" t="s">
        <v>767</v>
      </c>
      <c r="AO168" s="502"/>
      <c r="AP168" s="502"/>
      <c r="AQ168" s="502">
        <f>MAX(Y164:Y169)</f>
        <v>76</v>
      </c>
      <c r="AR168" s="502">
        <f>MAX(AF164:AF169)</f>
        <v>68</v>
      </c>
      <c r="AS168" s="502"/>
      <c r="AT168" s="502">
        <f>MAX(AM164:AM169)</f>
        <v>74</v>
      </c>
      <c r="AU168" s="502"/>
      <c r="AV168" s="502"/>
      <c r="AW168" s="660"/>
      <c r="AX168" s="516">
        <v>70</v>
      </c>
      <c r="AY168" s="516">
        <v>67</v>
      </c>
      <c r="AZ168" s="516">
        <v>68</v>
      </c>
      <c r="BA168" s="502"/>
      <c r="BB168" s="502"/>
      <c r="BC168" s="502"/>
      <c r="BD168" s="502"/>
      <c r="BE168" s="502"/>
      <c r="BF168" s="502"/>
      <c r="BG168" s="502"/>
      <c r="BH168" s="502"/>
      <c r="BI168" s="502"/>
      <c r="BJ168" s="502"/>
      <c r="BK168" s="502"/>
      <c r="BL168" s="502"/>
      <c r="BM168" s="502"/>
      <c r="BN168" s="502"/>
      <c r="BO168" s="502"/>
    </row>
    <row r="169" spans="21:71" ht="15" hidden="1" customHeight="1" x14ac:dyDescent="0.25">
      <c r="U169" s="1504" t="s">
        <v>881</v>
      </c>
      <c r="V169" s="1505"/>
      <c r="W169" s="1506"/>
      <c r="X169" s="523">
        <v>20</v>
      </c>
      <c r="Y169" s="876">
        <v>76</v>
      </c>
      <c r="Z169" s="875" t="s">
        <v>769</v>
      </c>
      <c r="AA169" s="276"/>
      <c r="AB169" s="331" t="s">
        <v>882</v>
      </c>
      <c r="AC169" s="331"/>
      <c r="AD169" s="331"/>
      <c r="AE169" s="523">
        <v>20</v>
      </c>
      <c r="AF169" s="876">
        <v>68</v>
      </c>
      <c r="AG169" s="875" t="s">
        <v>766</v>
      </c>
      <c r="AH169" s="276"/>
      <c r="AI169" s="331" t="s">
        <v>883</v>
      </c>
      <c r="AJ169" s="331"/>
      <c r="AK169" s="331"/>
      <c r="AL169" s="523">
        <v>20</v>
      </c>
      <c r="AM169" s="876">
        <v>74</v>
      </c>
      <c r="AN169" s="875" t="s">
        <v>767</v>
      </c>
      <c r="AO169" s="502"/>
      <c r="AP169" s="502"/>
      <c r="AQ169" s="502">
        <f>MIN(Y164:Y169)</f>
        <v>54</v>
      </c>
      <c r="AR169" s="502">
        <f>MIN(AF164:AF169)</f>
        <v>60</v>
      </c>
      <c r="AS169" s="502"/>
      <c r="AT169" s="502">
        <f>MIN(AM164:AM169)</f>
        <v>65</v>
      </c>
      <c r="AU169" s="502"/>
      <c r="AV169" s="502"/>
      <c r="AW169" s="660"/>
      <c r="AX169" s="516">
        <v>76</v>
      </c>
      <c r="AY169" s="516">
        <v>68</v>
      </c>
      <c r="AZ169" s="516">
        <v>74</v>
      </c>
      <c r="BA169" s="502"/>
      <c r="BB169" s="502"/>
      <c r="BC169" s="502"/>
      <c r="BD169" s="502"/>
      <c r="BE169" s="502"/>
      <c r="BF169" s="502"/>
      <c r="BG169" s="502"/>
      <c r="BH169" s="502"/>
      <c r="BI169" s="502"/>
      <c r="BJ169" s="502"/>
      <c r="BK169" s="502"/>
      <c r="BL169" s="502"/>
      <c r="BM169" s="502"/>
      <c r="BN169" s="502"/>
      <c r="BO169" s="502"/>
    </row>
    <row r="170" spans="21:71" ht="15" hidden="1" customHeight="1" x14ac:dyDescent="0.25">
      <c r="U170" s="877"/>
      <c r="V170" s="877"/>
      <c r="W170" s="877"/>
      <c r="X170" s="260"/>
      <c r="Y170" s="878"/>
      <c r="Z170" s="276"/>
      <c r="AA170" s="276"/>
      <c r="AB170" s="877"/>
      <c r="AC170" s="877"/>
      <c r="AD170" s="877"/>
      <c r="AE170" s="260"/>
      <c r="AF170" s="878"/>
      <c r="AG170" s="276"/>
      <c r="AH170" s="276"/>
      <c r="AI170" s="877"/>
      <c r="AJ170" s="877"/>
      <c r="AK170" s="877"/>
      <c r="AL170" s="415"/>
      <c r="AM170" s="416" t="s">
        <v>884</v>
      </c>
      <c r="AN170" s="276"/>
      <c r="AO170" s="502"/>
      <c r="AP170" s="502"/>
      <c r="AQ170" s="502">
        <f>AQ168-AQ169</f>
        <v>22</v>
      </c>
      <c r="AR170" s="502">
        <f>AR168-AR169</f>
        <v>8</v>
      </c>
      <c r="AS170" s="502"/>
      <c r="AT170" s="502">
        <f>AT168-AT169</f>
        <v>9</v>
      </c>
      <c r="AU170" s="502"/>
      <c r="AV170" s="502"/>
      <c r="AW170" s="660"/>
      <c r="AX170" s="518">
        <v>64.5</v>
      </c>
      <c r="AY170" s="518">
        <v>64</v>
      </c>
      <c r="AZ170" s="518">
        <v>67.833333333333329</v>
      </c>
      <c r="BA170" s="502"/>
      <c r="BB170" s="502"/>
      <c r="BC170" s="502"/>
      <c r="BD170" s="502"/>
      <c r="BE170" s="502"/>
      <c r="BF170" s="502"/>
      <c r="BG170" s="502"/>
      <c r="BH170" s="502"/>
      <c r="BI170" s="502"/>
      <c r="BJ170" s="502"/>
      <c r="BK170" s="502"/>
      <c r="BL170" s="502"/>
      <c r="BM170" s="502"/>
      <c r="BN170" s="502"/>
      <c r="BO170" s="502"/>
    </row>
    <row r="171" spans="21:71" ht="15" hidden="1" customHeight="1" x14ac:dyDescent="0.25">
      <c r="U171" s="877"/>
      <c r="V171" s="877"/>
      <c r="W171" s="877"/>
      <c r="X171" s="260"/>
      <c r="Y171" s="878"/>
      <c r="Z171" s="276"/>
      <c r="AA171" s="276"/>
      <c r="AB171" s="877"/>
      <c r="AC171" s="877"/>
      <c r="AD171" s="877"/>
      <c r="AE171" s="260"/>
      <c r="AF171" s="878"/>
      <c r="AG171" s="276"/>
      <c r="AH171" s="276"/>
      <c r="AI171" s="877"/>
      <c r="AJ171" s="877"/>
      <c r="AK171" s="877"/>
      <c r="AL171" s="425" t="s">
        <v>854</v>
      </c>
      <c r="AM171" s="426"/>
      <c r="AN171" s="276"/>
      <c r="AO171" s="502"/>
      <c r="AP171" s="502"/>
      <c r="AQ171" s="502"/>
      <c r="AR171" s="502"/>
      <c r="AS171" s="502"/>
      <c r="AT171" s="502"/>
      <c r="AU171" s="502"/>
      <c r="AV171" s="502"/>
      <c r="AW171" s="660"/>
      <c r="AX171" s="502"/>
      <c r="AY171" s="502"/>
      <c r="AZ171" s="502"/>
      <c r="BA171" s="502"/>
      <c r="BB171" s="502"/>
      <c r="BC171" s="502"/>
      <c r="BD171" s="502"/>
      <c r="BE171" s="502"/>
      <c r="BF171" s="502"/>
      <c r="BG171" s="502"/>
      <c r="BH171" s="502"/>
      <c r="BI171" s="502"/>
      <c r="BJ171" s="502"/>
      <c r="BK171" s="502"/>
      <c r="BL171" s="502"/>
      <c r="BM171" s="502"/>
      <c r="BN171" s="502"/>
      <c r="BO171" s="502"/>
    </row>
    <row r="172" spans="21:71" ht="15" hidden="1" customHeight="1" x14ac:dyDescent="0.25">
      <c r="U172" s="877"/>
      <c r="V172" s="877"/>
      <c r="W172" s="877"/>
      <c r="X172" s="260"/>
      <c r="Y172" s="431" t="s">
        <v>855</v>
      </c>
      <c r="Z172" s="459"/>
      <c r="AA172" s="459"/>
      <c r="AB172" s="459"/>
      <c r="AC172" s="459"/>
      <c r="AD172" s="459"/>
      <c r="AE172" s="459"/>
      <c r="AF172" s="459"/>
      <c r="AG172" s="459"/>
      <c r="AH172" s="459"/>
      <c r="AI172" s="459"/>
      <c r="AJ172" s="459"/>
      <c r="AK172" s="459"/>
      <c r="AL172" s="519"/>
      <c r="AM172" s="435"/>
      <c r="AN172" s="276"/>
      <c r="AO172" s="502"/>
      <c r="AP172" s="502"/>
      <c r="AQ172" s="502"/>
      <c r="AR172" s="502"/>
      <c r="AS172" s="502"/>
      <c r="AT172" s="502"/>
      <c r="AU172" s="502"/>
      <c r="AV172" s="502"/>
      <c r="AW172" s="660"/>
      <c r="AX172" s="502"/>
      <c r="AY172" s="502"/>
      <c r="AZ172" s="502"/>
      <c r="BA172" s="502"/>
      <c r="BB172" s="502"/>
      <c r="BC172" s="502"/>
      <c r="BD172" s="502"/>
      <c r="BE172" s="502"/>
      <c r="BF172" s="502"/>
      <c r="BG172" s="502"/>
      <c r="BH172" s="502"/>
      <c r="BI172" s="502"/>
      <c r="BJ172" s="502"/>
      <c r="BK172" s="502"/>
      <c r="BL172" s="502"/>
      <c r="BM172" s="502"/>
      <c r="BN172" s="502"/>
      <c r="BO172" s="502"/>
    </row>
    <row r="173" spans="21:71" ht="15" hidden="1" customHeight="1" x14ac:dyDescent="0.25">
      <c r="U173" s="877"/>
      <c r="V173" s="877"/>
      <c r="W173" s="877"/>
      <c r="X173" s="260"/>
      <c r="Y173" s="431" t="s">
        <v>825</v>
      </c>
      <c r="Z173" s="432"/>
      <c r="AA173" s="432"/>
      <c r="AB173" s="432"/>
      <c r="AC173" s="432"/>
      <c r="AD173" s="432"/>
      <c r="AE173" s="432"/>
      <c r="AF173" s="432"/>
      <c r="AG173" s="432"/>
      <c r="AH173" s="432"/>
      <c r="AI173" s="433"/>
      <c r="AJ173" s="433"/>
      <c r="AK173" s="433"/>
      <c r="AL173" s="434"/>
      <c r="AM173" s="435"/>
      <c r="AN173" s="276"/>
      <c r="AO173" s="502"/>
      <c r="AP173" s="502"/>
      <c r="AQ173" s="502"/>
      <c r="AR173" s="502"/>
      <c r="AS173" s="502"/>
      <c r="AT173" s="502"/>
      <c r="AU173" s="502"/>
      <c r="AV173" s="502"/>
      <c r="AW173" s="660"/>
      <c r="AX173" s="502"/>
      <c r="AY173" s="502"/>
      <c r="AZ173" s="502"/>
      <c r="BA173" s="502"/>
      <c r="BB173" s="502"/>
      <c r="BC173" s="502"/>
      <c r="BD173" s="502"/>
      <c r="BE173" s="502"/>
      <c r="BF173" s="502"/>
      <c r="BG173" s="502"/>
      <c r="BH173" s="502"/>
      <c r="BI173" s="502"/>
      <c r="BJ173" s="502"/>
      <c r="BK173" s="502"/>
      <c r="BL173" s="502"/>
      <c r="BM173" s="502"/>
      <c r="BN173" s="502"/>
      <c r="BO173" s="502"/>
    </row>
    <row r="174" spans="21:71" ht="15" hidden="1" customHeight="1" x14ac:dyDescent="0.25">
      <c r="U174" s="872" t="s">
        <v>885</v>
      </c>
      <c r="V174" s="872"/>
      <c r="W174" s="872"/>
      <c r="X174" s="873"/>
      <c r="Y174" s="873"/>
      <c r="Z174" s="874"/>
      <c r="AA174" s="218"/>
      <c r="AB174" s="804"/>
      <c r="AC174" s="804"/>
      <c r="AD174" s="804"/>
      <c r="AE174" s="262"/>
      <c r="AF174" s="355"/>
      <c r="AG174" s="335"/>
      <c r="AH174" s="804"/>
      <c r="AI174" s="804"/>
      <c r="AJ174" s="804"/>
      <c r="AK174" s="804"/>
      <c r="AL174" s="528"/>
      <c r="AM174" s="464"/>
      <c r="AN174" s="464"/>
      <c r="AO174" s="502"/>
      <c r="AP174" s="502"/>
      <c r="AQ174" s="502"/>
      <c r="AR174" s="502"/>
      <c r="AS174" s="502"/>
      <c r="AT174" s="502"/>
      <c r="AU174" s="502"/>
      <c r="AV174" s="502"/>
      <c r="AW174" s="660"/>
      <c r="AX174" s="502"/>
      <c r="AY174" s="502"/>
      <c r="AZ174" s="502"/>
      <c r="BA174" s="502"/>
      <c r="BB174" s="502"/>
      <c r="BC174" s="502"/>
      <c r="BD174" s="502"/>
      <c r="BE174" s="502"/>
      <c r="BF174" s="502"/>
      <c r="BG174" s="502"/>
      <c r="BH174" s="502"/>
      <c r="BI174" s="502"/>
      <c r="BJ174" s="502"/>
      <c r="BK174" s="502"/>
      <c r="BL174" s="502"/>
      <c r="BM174" s="502"/>
      <c r="BN174" s="506"/>
      <c r="BO174" s="506"/>
    </row>
    <row r="175" spans="21:71" ht="15" hidden="1" customHeight="1" x14ac:dyDescent="0.25">
      <c r="U175" s="297" t="s">
        <v>798</v>
      </c>
      <c r="V175" s="298"/>
      <c r="W175" s="298"/>
      <c r="X175" s="299"/>
      <c r="Y175" s="300"/>
      <c r="Z175" s="301"/>
      <c r="AA175" s="276"/>
      <c r="AB175" s="302" t="s">
        <v>799</v>
      </c>
      <c r="AC175" s="695"/>
      <c r="AD175" s="695"/>
      <c r="AE175" s="303"/>
      <c r="AF175" s="304"/>
      <c r="AG175" s="305"/>
      <c r="AH175" s="276"/>
      <c r="AI175" s="306" t="s">
        <v>800</v>
      </c>
      <c r="AJ175" s="696"/>
      <c r="AK175" s="696"/>
      <c r="AL175" s="307"/>
      <c r="AM175" s="308"/>
      <c r="AN175" s="309"/>
      <c r="AO175" s="502"/>
      <c r="AP175" s="502"/>
      <c r="AQ175" s="502"/>
      <c r="AR175" s="502"/>
      <c r="AS175" s="502"/>
      <c r="AT175" s="502"/>
      <c r="AU175" s="502"/>
      <c r="AV175" s="502"/>
      <c r="AW175" s="660"/>
      <c r="AX175" s="502"/>
      <c r="AY175" s="502"/>
      <c r="AZ175" s="502"/>
      <c r="BA175" s="502"/>
      <c r="BB175" s="502"/>
      <c r="BC175" s="502"/>
      <c r="BD175" s="502"/>
      <c r="BE175" s="502"/>
      <c r="BF175" s="502"/>
      <c r="BG175" s="506"/>
      <c r="BH175" s="506"/>
      <c r="BI175" s="506"/>
      <c r="BJ175" s="506"/>
      <c r="BK175" s="506"/>
      <c r="BL175" s="506"/>
      <c r="BM175" s="506"/>
      <c r="BN175" s="502"/>
      <c r="BO175" s="502"/>
    </row>
    <row r="176" spans="21:71" ht="15" hidden="1" customHeight="1" x14ac:dyDescent="0.25">
      <c r="U176" s="1517" t="s">
        <v>808</v>
      </c>
      <c r="V176" s="1518"/>
      <c r="W176" s="1519"/>
      <c r="X176" s="315" t="s">
        <v>809</v>
      </c>
      <c r="Y176" s="315" t="s">
        <v>810</v>
      </c>
      <c r="Z176" s="315" t="s">
        <v>811</v>
      </c>
      <c r="AA176" s="276"/>
      <c r="AB176" s="316" t="s">
        <v>808</v>
      </c>
      <c r="AC176" s="316"/>
      <c r="AD176" s="316"/>
      <c r="AE176" s="803" t="s">
        <v>809</v>
      </c>
      <c r="AF176" s="803" t="s">
        <v>810</v>
      </c>
      <c r="AG176" s="803" t="s">
        <v>811</v>
      </c>
      <c r="AH176" s="260"/>
      <c r="AI176" s="316" t="s">
        <v>808</v>
      </c>
      <c r="AJ176" s="316"/>
      <c r="AK176" s="316"/>
      <c r="AL176" s="803" t="s">
        <v>809</v>
      </c>
      <c r="AM176" s="803" t="s">
        <v>810</v>
      </c>
      <c r="AN176" s="803" t="s">
        <v>811</v>
      </c>
      <c r="AO176" s="502"/>
      <c r="AP176" s="502"/>
      <c r="AQ176" s="502"/>
      <c r="AR176" s="502"/>
      <c r="AS176" s="502"/>
      <c r="AT176" s="502"/>
      <c r="AU176" s="502"/>
      <c r="AV176" s="502"/>
      <c r="AW176" s="660"/>
      <c r="AX176" s="502"/>
      <c r="AY176" s="502"/>
      <c r="AZ176" s="502"/>
      <c r="BA176" s="502"/>
      <c r="BB176" s="502"/>
      <c r="BC176" s="502"/>
      <c r="BD176" s="502"/>
      <c r="BE176" s="502"/>
      <c r="BF176" s="502"/>
      <c r="BG176" s="502"/>
      <c r="BH176" s="502"/>
      <c r="BI176" s="502"/>
      <c r="BJ176" s="502"/>
      <c r="BK176" s="502"/>
      <c r="BL176" s="502"/>
      <c r="BM176" s="502"/>
      <c r="BN176" s="502"/>
      <c r="BO176" s="502"/>
    </row>
    <row r="177" spans="21:67" ht="15" hidden="1" customHeight="1" x14ac:dyDescent="0.25">
      <c r="U177" s="1504" t="s">
        <v>866</v>
      </c>
      <c r="V177" s="1505"/>
      <c r="W177" s="1506"/>
      <c r="X177" s="523">
        <v>20</v>
      </c>
      <c r="Y177" s="524">
        <v>54</v>
      </c>
      <c r="Z177" s="875" t="s">
        <v>760</v>
      </c>
      <c r="AA177" s="276"/>
      <c r="AB177" s="331" t="s">
        <v>867</v>
      </c>
      <c r="AC177" s="331"/>
      <c r="AD177" s="331"/>
      <c r="AE177" s="523">
        <v>20</v>
      </c>
      <c r="AF177" s="524">
        <v>43</v>
      </c>
      <c r="AG177" s="875" t="s">
        <v>756</v>
      </c>
      <c r="AH177" s="276"/>
      <c r="AI177" s="331" t="s">
        <v>868</v>
      </c>
      <c r="AJ177" s="331"/>
      <c r="AK177" s="331"/>
      <c r="AL177" s="523">
        <v>20</v>
      </c>
      <c r="AM177" s="524">
        <v>66</v>
      </c>
      <c r="AN177" s="875" t="s">
        <v>765</v>
      </c>
      <c r="AO177" s="506"/>
      <c r="AP177" s="506"/>
      <c r="AQ177" s="506"/>
      <c r="AR177" s="506"/>
      <c r="AS177" s="506"/>
      <c r="AT177" s="506"/>
      <c r="AU177" s="506"/>
      <c r="AV177" s="506"/>
      <c r="AW177" s="661"/>
      <c r="AX177" s="520">
        <v>54</v>
      </c>
      <c r="AY177" s="516">
        <v>43</v>
      </c>
      <c r="AZ177" s="516">
        <v>66</v>
      </c>
      <c r="BA177" s="506"/>
      <c r="BB177" s="506"/>
      <c r="BC177" s="506"/>
      <c r="BD177" s="506"/>
      <c r="BE177" s="506"/>
      <c r="BF177" s="506"/>
      <c r="BG177" s="502"/>
      <c r="BH177" s="502"/>
      <c r="BI177" s="502"/>
      <c r="BJ177" s="502"/>
      <c r="BK177" s="502"/>
      <c r="BL177" s="502"/>
      <c r="BM177" s="502"/>
      <c r="BN177" s="506"/>
      <c r="BO177" s="506"/>
    </row>
    <row r="178" spans="21:67" ht="15" hidden="1" customHeight="1" x14ac:dyDescent="0.25">
      <c r="U178" s="1504" t="s">
        <v>869</v>
      </c>
      <c r="V178" s="1505"/>
      <c r="W178" s="1506"/>
      <c r="X178" s="523">
        <v>20</v>
      </c>
      <c r="Y178" s="876">
        <v>57</v>
      </c>
      <c r="Z178" s="875" t="s">
        <v>761</v>
      </c>
      <c r="AA178" s="276"/>
      <c r="AB178" s="331" t="s">
        <v>870</v>
      </c>
      <c r="AC178" s="331"/>
      <c r="AD178" s="331"/>
      <c r="AE178" s="523">
        <v>20</v>
      </c>
      <c r="AF178" s="876">
        <v>47</v>
      </c>
      <c r="AG178" s="875" t="s">
        <v>757</v>
      </c>
      <c r="AH178" s="276"/>
      <c r="AI178" s="331" t="s">
        <v>871</v>
      </c>
      <c r="AJ178" s="331"/>
      <c r="AK178" s="331"/>
      <c r="AL178" s="523">
        <v>20</v>
      </c>
      <c r="AM178" s="876">
        <v>71</v>
      </c>
      <c r="AN178" s="875" t="s">
        <v>767</v>
      </c>
      <c r="AO178" s="502"/>
      <c r="AP178" s="502"/>
      <c r="AQ178" s="502"/>
      <c r="AR178" s="502"/>
      <c r="AS178" s="502"/>
      <c r="AT178" s="502"/>
      <c r="AU178" s="502"/>
      <c r="AV178" s="502"/>
      <c r="AW178" s="660"/>
      <c r="AX178" s="516">
        <v>57</v>
      </c>
      <c r="AY178" s="516">
        <v>47</v>
      </c>
      <c r="AZ178" s="516">
        <v>71</v>
      </c>
      <c r="BA178" s="502"/>
      <c r="BB178" s="502"/>
      <c r="BC178" s="502"/>
      <c r="BD178" s="502"/>
      <c r="BE178" s="502"/>
      <c r="BF178" s="502"/>
      <c r="BG178" s="506"/>
      <c r="BH178" s="506"/>
      <c r="BI178" s="506"/>
      <c r="BJ178" s="506"/>
      <c r="BK178" s="506"/>
      <c r="BL178" s="506"/>
      <c r="BM178" s="506"/>
      <c r="BN178" s="508"/>
      <c r="BO178" s="508"/>
    </row>
    <row r="179" spans="21:67" ht="15" hidden="1" customHeight="1" x14ac:dyDescent="0.25">
      <c r="U179" s="1504" t="s">
        <v>872</v>
      </c>
      <c r="V179" s="1505"/>
      <c r="W179" s="1506"/>
      <c r="X179" s="523">
        <v>20</v>
      </c>
      <c r="Y179" s="876">
        <v>63</v>
      </c>
      <c r="Z179" s="875" t="s">
        <v>764</v>
      </c>
      <c r="AA179" s="276"/>
      <c r="AB179" s="331" t="s">
        <v>873</v>
      </c>
      <c r="AC179" s="331"/>
      <c r="AD179" s="331"/>
      <c r="AE179" s="523">
        <v>20</v>
      </c>
      <c r="AF179" s="876">
        <v>50</v>
      </c>
      <c r="AG179" s="875" t="s">
        <v>759</v>
      </c>
      <c r="AH179" s="276"/>
      <c r="AI179" s="331" t="s">
        <v>874</v>
      </c>
      <c r="AJ179" s="331"/>
      <c r="AK179" s="331"/>
      <c r="AL179" s="523">
        <v>20</v>
      </c>
      <c r="AM179" s="876">
        <v>74</v>
      </c>
      <c r="AN179" s="875" t="s">
        <v>768</v>
      </c>
      <c r="AO179" s="502"/>
      <c r="AP179" s="502"/>
      <c r="AQ179" s="502"/>
      <c r="AR179" s="502"/>
      <c r="AS179" s="502"/>
      <c r="AT179" s="502"/>
      <c r="AU179" s="502"/>
      <c r="AV179" s="502"/>
      <c r="AW179" s="660"/>
      <c r="AX179" s="516">
        <v>63</v>
      </c>
      <c r="AY179" s="516">
        <v>50</v>
      </c>
      <c r="AZ179" s="516">
        <v>74</v>
      </c>
      <c r="BA179" s="502"/>
      <c r="BB179" s="502"/>
      <c r="BC179" s="502"/>
      <c r="BD179" s="502"/>
      <c r="BE179" s="502"/>
      <c r="BF179" s="502"/>
      <c r="BG179" s="508"/>
      <c r="BH179" s="508"/>
      <c r="BI179" s="508"/>
      <c r="BJ179" s="508"/>
      <c r="BK179" s="508"/>
      <c r="BL179" s="508"/>
      <c r="BM179" s="508"/>
      <c r="BN179" s="508"/>
      <c r="BO179" s="508"/>
    </row>
    <row r="180" spans="21:67" ht="15" hidden="1" customHeight="1" x14ac:dyDescent="0.25">
      <c r="U180" s="1504" t="s">
        <v>875</v>
      </c>
      <c r="V180" s="1505"/>
      <c r="W180" s="1506"/>
      <c r="X180" s="523">
        <v>20</v>
      </c>
      <c r="Y180" s="876">
        <v>65</v>
      </c>
      <c r="Z180" s="875" t="s">
        <v>765</v>
      </c>
      <c r="AA180" s="276"/>
      <c r="AB180" s="331" t="s">
        <v>876</v>
      </c>
      <c r="AC180" s="331"/>
      <c r="AD180" s="331"/>
      <c r="AE180" s="523">
        <v>20</v>
      </c>
      <c r="AF180" s="876">
        <v>56</v>
      </c>
      <c r="AG180" s="875" t="s">
        <v>761</v>
      </c>
      <c r="AH180" s="276"/>
      <c r="AI180" s="331" t="s">
        <v>877</v>
      </c>
      <c r="AJ180" s="331"/>
      <c r="AK180" s="331"/>
      <c r="AL180" s="523">
        <v>20</v>
      </c>
      <c r="AM180" s="876">
        <v>75</v>
      </c>
      <c r="AN180" s="875" t="s">
        <v>769</v>
      </c>
      <c r="AO180" s="506"/>
      <c r="AP180" s="506"/>
      <c r="AQ180" s="506"/>
      <c r="AR180" s="506"/>
      <c r="AS180" s="506"/>
      <c r="AT180" s="506"/>
      <c r="AU180" s="506"/>
      <c r="AV180" s="506"/>
      <c r="AW180" s="661"/>
      <c r="AX180" s="516">
        <v>65</v>
      </c>
      <c r="AY180" s="516">
        <v>56</v>
      </c>
      <c r="AZ180" s="516">
        <v>75</v>
      </c>
      <c r="BA180" s="506"/>
      <c r="BB180" s="506"/>
      <c r="BC180" s="506"/>
      <c r="BD180" s="506"/>
      <c r="BE180" s="506"/>
      <c r="BF180" s="506"/>
      <c r="BG180" s="508"/>
      <c r="BH180" s="508"/>
      <c r="BI180" s="508"/>
      <c r="BJ180" s="508"/>
      <c r="BK180" s="508"/>
      <c r="BL180" s="508"/>
      <c r="BM180" s="508"/>
      <c r="BN180" s="508"/>
      <c r="BO180" s="508"/>
    </row>
    <row r="181" spans="21:67" ht="15" hidden="1" customHeight="1" x14ac:dyDescent="0.25">
      <c r="U181" s="1504" t="s">
        <v>878</v>
      </c>
      <c r="V181" s="1505"/>
      <c r="W181" s="1506"/>
      <c r="X181" s="523">
        <v>20</v>
      </c>
      <c r="Y181" s="876">
        <v>72</v>
      </c>
      <c r="Z181" s="875" t="s">
        <v>767</v>
      </c>
      <c r="AA181" s="276"/>
      <c r="AB181" s="331" t="s">
        <v>879</v>
      </c>
      <c r="AC181" s="331"/>
      <c r="AD181" s="331"/>
      <c r="AE181" s="523">
        <v>20</v>
      </c>
      <c r="AF181" s="876">
        <v>60</v>
      </c>
      <c r="AG181" s="875" t="s">
        <v>763</v>
      </c>
      <c r="AH181" s="276"/>
      <c r="AI181" s="331" t="s">
        <v>880</v>
      </c>
      <c r="AJ181" s="331"/>
      <c r="AK181" s="331"/>
      <c r="AL181" s="523">
        <v>20</v>
      </c>
      <c r="AM181" s="876">
        <v>75</v>
      </c>
      <c r="AN181" s="875" t="s">
        <v>769</v>
      </c>
      <c r="AO181" s="508"/>
      <c r="AP181" s="508"/>
      <c r="AQ181" s="502">
        <f>MAX(Y177:Y182)</f>
        <v>80</v>
      </c>
      <c r="AR181" s="502">
        <f>MAX(AF177:AF182)</f>
        <v>60</v>
      </c>
      <c r="AS181" s="502"/>
      <c r="AT181" s="502">
        <f>MAX(AM177:AM182)</f>
        <v>81</v>
      </c>
      <c r="AU181" s="508"/>
      <c r="AV181" s="508"/>
      <c r="AW181" s="662"/>
      <c r="AX181" s="516">
        <v>72</v>
      </c>
      <c r="AY181" s="516">
        <v>60</v>
      </c>
      <c r="AZ181" s="516">
        <v>75</v>
      </c>
      <c r="BA181" s="508"/>
      <c r="BB181" s="508"/>
      <c r="BC181" s="508"/>
      <c r="BD181" s="508"/>
      <c r="BE181" s="508"/>
      <c r="BF181" s="508"/>
      <c r="BG181" s="508"/>
      <c r="BH181" s="508"/>
      <c r="BI181" s="508"/>
      <c r="BJ181" s="508"/>
      <c r="BK181" s="508"/>
      <c r="BL181" s="508"/>
      <c r="BM181" s="508"/>
      <c r="BN181" s="9"/>
      <c r="BO181" s="9"/>
    </row>
    <row r="182" spans="21:67" ht="15" hidden="1" customHeight="1" x14ac:dyDescent="0.25">
      <c r="U182" s="1504" t="s">
        <v>881</v>
      </c>
      <c r="V182" s="1505"/>
      <c r="W182" s="1506"/>
      <c r="X182" s="523">
        <v>20</v>
      </c>
      <c r="Y182" s="876">
        <v>80</v>
      </c>
      <c r="Z182" s="875" t="s">
        <v>771</v>
      </c>
      <c r="AA182" s="276"/>
      <c r="AB182" s="331" t="s">
        <v>882</v>
      </c>
      <c r="AC182" s="331"/>
      <c r="AD182" s="331"/>
      <c r="AE182" s="523">
        <v>20</v>
      </c>
      <c r="AF182" s="876">
        <v>60</v>
      </c>
      <c r="AG182" s="875" t="s">
        <v>763</v>
      </c>
      <c r="AH182" s="276"/>
      <c r="AI182" s="331" t="s">
        <v>883</v>
      </c>
      <c r="AJ182" s="331"/>
      <c r="AK182" s="331"/>
      <c r="AL182" s="523">
        <v>20</v>
      </c>
      <c r="AM182" s="876">
        <v>81</v>
      </c>
      <c r="AN182" s="875" t="s">
        <v>771</v>
      </c>
      <c r="AO182" s="508"/>
      <c r="AP182" s="508"/>
      <c r="AQ182" s="502">
        <f>MIN(Y177:Y182)</f>
        <v>54</v>
      </c>
      <c r="AR182" s="502">
        <f>MIN(AF177:AF182)</f>
        <v>43</v>
      </c>
      <c r="AS182" s="502"/>
      <c r="AT182" s="502">
        <f>MIN(AM177:AM182)</f>
        <v>66</v>
      </c>
      <c r="AU182" s="508"/>
      <c r="AV182" s="508"/>
      <c r="AW182" s="662"/>
      <c r="AX182" s="516">
        <v>80</v>
      </c>
      <c r="AY182" s="516">
        <v>60</v>
      </c>
      <c r="AZ182" s="516">
        <v>81</v>
      </c>
      <c r="BA182" s="508"/>
      <c r="BB182" s="508"/>
      <c r="BC182" s="508"/>
      <c r="BD182" s="508"/>
      <c r="BE182" s="508"/>
      <c r="BF182" s="508"/>
      <c r="BG182" s="9"/>
      <c r="BH182" s="9"/>
      <c r="BI182" s="9"/>
      <c r="BJ182" s="9"/>
      <c r="BK182" s="9"/>
      <c r="BL182" s="9"/>
      <c r="BM182" s="9"/>
      <c r="BN182" s="9"/>
      <c r="BO182" s="9"/>
    </row>
    <row r="183" spans="21:67" ht="15" hidden="1" customHeight="1" x14ac:dyDescent="0.25">
      <c r="U183" s="877"/>
      <c r="V183" s="877"/>
      <c r="W183" s="877"/>
      <c r="X183" s="260"/>
      <c r="Y183" s="878"/>
      <c r="Z183" s="276"/>
      <c r="AA183" s="276"/>
      <c r="AB183" s="877"/>
      <c r="AC183" s="877"/>
      <c r="AD183" s="877"/>
      <c r="AE183" s="260"/>
      <c r="AF183" s="878"/>
      <c r="AG183" s="276"/>
      <c r="AH183" s="276"/>
      <c r="AI183" s="877"/>
      <c r="AJ183" s="877"/>
      <c r="AK183" s="877"/>
      <c r="AL183" s="521"/>
      <c r="AM183" s="522" t="s">
        <v>886</v>
      </c>
      <c r="AN183" s="276"/>
      <c r="AO183" s="508"/>
      <c r="AP183" s="508"/>
      <c r="AQ183" s="502">
        <f>AQ181-AQ182</f>
        <v>26</v>
      </c>
      <c r="AR183" s="502">
        <f>AR181-AR182</f>
        <v>17</v>
      </c>
      <c r="AS183" s="502"/>
      <c r="AT183" s="502">
        <f>AT181-AT182</f>
        <v>15</v>
      </c>
      <c r="AU183" s="508"/>
      <c r="AV183" s="508"/>
      <c r="AW183" s="662"/>
      <c r="AX183" s="518">
        <f>AVERAGE(AX177:AX182)</f>
        <v>65.166666666666671</v>
      </c>
      <c r="AY183" s="518">
        <f t="shared" ref="AY183:AZ183" si="603">AVERAGE(AY177:AY182)</f>
        <v>52.666666666666664</v>
      </c>
      <c r="AZ183" s="518">
        <f t="shared" si="603"/>
        <v>73.666666666666671</v>
      </c>
      <c r="BA183" s="508"/>
      <c r="BB183" s="508"/>
      <c r="BC183" s="508"/>
      <c r="BD183" s="508"/>
      <c r="BE183" s="508"/>
      <c r="BF183" s="508"/>
      <c r="BG183" s="9"/>
      <c r="BH183" s="9"/>
      <c r="BI183" s="9"/>
      <c r="BJ183" s="9"/>
      <c r="BK183" s="9"/>
      <c r="BL183" s="9"/>
      <c r="BM183" s="9"/>
    </row>
    <row r="184" spans="21:67" ht="15" hidden="1" customHeight="1" x14ac:dyDescent="0.25">
      <c r="U184" s="877"/>
      <c r="V184" s="877"/>
      <c r="W184" s="877"/>
      <c r="X184" s="260"/>
      <c r="Y184" s="878"/>
      <c r="Z184" s="276"/>
      <c r="AA184" s="276"/>
      <c r="AB184" s="877"/>
      <c r="AC184" s="877"/>
      <c r="AD184" s="877"/>
      <c r="AE184" s="260"/>
      <c r="AF184" s="878"/>
      <c r="AG184" s="276"/>
      <c r="AH184" s="276"/>
      <c r="AI184" s="877"/>
      <c r="AJ184" s="877"/>
      <c r="AK184" s="877"/>
      <c r="AL184" s="425" t="s">
        <v>854</v>
      </c>
      <c r="AM184" s="426">
        <v>12.030000000000001</v>
      </c>
      <c r="AN184" s="276"/>
      <c r="AO184" s="9"/>
      <c r="AP184" s="9"/>
      <c r="AQ184" s="9"/>
      <c r="AR184" s="9"/>
      <c r="AS184" s="9"/>
      <c r="AT184" s="9"/>
      <c r="AU184" s="9"/>
      <c r="AV184" s="9"/>
      <c r="AW184" s="663"/>
      <c r="AX184" s="9"/>
      <c r="AY184" s="9"/>
      <c r="AZ184" s="9"/>
      <c r="BA184" s="9"/>
      <c r="BB184" s="9"/>
      <c r="BC184" s="9"/>
      <c r="BD184" s="9"/>
      <c r="BE184" s="9"/>
      <c r="BF184" s="9"/>
    </row>
    <row r="185" spans="21:67" ht="15" hidden="1" customHeight="1" x14ac:dyDescent="0.25">
      <c r="U185" s="877"/>
      <c r="V185" s="877"/>
      <c r="W185" s="877"/>
      <c r="X185" s="260"/>
      <c r="Y185" s="431" t="s">
        <v>855</v>
      </c>
      <c r="Z185" s="459"/>
      <c r="AA185" s="459"/>
      <c r="AB185" s="459"/>
      <c r="AC185" s="459"/>
      <c r="AD185" s="459"/>
      <c r="AE185" s="459"/>
      <c r="AF185" s="459"/>
      <c r="AG185" s="459"/>
      <c r="AH185" s="459"/>
      <c r="AI185" s="459"/>
      <c r="AJ185" s="459"/>
      <c r="AK185" s="459"/>
      <c r="AL185" s="519"/>
      <c r="AM185" s="435">
        <v>75.2</v>
      </c>
      <c r="AN185" s="276"/>
      <c r="AO185" s="9"/>
      <c r="AP185" s="9"/>
      <c r="AQ185" s="9"/>
      <c r="AR185" s="9"/>
      <c r="AS185" s="9"/>
      <c r="AT185" s="9"/>
      <c r="AU185" s="9"/>
      <c r="AV185" s="9"/>
      <c r="AW185" s="663"/>
      <c r="AX185" s="9"/>
      <c r="AY185" s="9"/>
      <c r="AZ185" s="9"/>
      <c r="BA185" s="9"/>
      <c r="BB185" s="9"/>
      <c r="BC185" s="9"/>
      <c r="BD185" s="9"/>
      <c r="BE185" s="9"/>
      <c r="BF185" s="9"/>
    </row>
    <row r="186" spans="21:67" ht="15" hidden="1" customHeight="1" x14ac:dyDescent="0.25">
      <c r="U186" s="877"/>
      <c r="V186" s="877"/>
      <c r="W186" s="877"/>
      <c r="X186" s="260"/>
      <c r="Y186" s="431" t="s">
        <v>831</v>
      </c>
      <c r="Z186" s="432"/>
      <c r="AA186" s="432"/>
      <c r="AB186" s="432"/>
      <c r="AC186" s="432"/>
      <c r="AD186" s="432"/>
      <c r="AE186" s="432"/>
      <c r="AF186" s="432"/>
      <c r="AG186" s="432"/>
      <c r="AH186" s="432"/>
      <c r="AI186" s="433"/>
      <c r="AJ186" s="433"/>
      <c r="AK186" s="433"/>
      <c r="AL186" s="434"/>
      <c r="AM186" s="435">
        <v>63.17</v>
      </c>
      <c r="AN186" s="276"/>
      <c r="AW186" s="653"/>
    </row>
    <row r="187" spans="21:67" ht="15" hidden="1" customHeight="1" x14ac:dyDescent="0.25">
      <c r="U187" s="877" t="s">
        <v>1139</v>
      </c>
      <c r="V187" s="877"/>
      <c r="W187" s="877"/>
      <c r="X187" s="260"/>
      <c r="Y187" s="878"/>
      <c r="Z187" s="276"/>
      <c r="AA187" s="276"/>
      <c r="AB187" s="877"/>
      <c r="AC187" s="877"/>
      <c r="AD187" s="877"/>
      <c r="AE187" s="260"/>
      <c r="AF187" s="878"/>
      <c r="AG187" s="276"/>
      <c r="AH187" s="276"/>
      <c r="AI187" s="877"/>
      <c r="AJ187" s="877"/>
      <c r="AK187" s="877"/>
      <c r="AL187" s="260"/>
      <c r="AM187" s="878"/>
      <c r="AN187" s="276"/>
      <c r="AW187" s="653"/>
    </row>
    <row r="188" spans="21:67" ht="15" hidden="1" customHeight="1" x14ac:dyDescent="0.25">
      <c r="U188" s="297" t="s">
        <v>798</v>
      </c>
      <c r="V188" s="298"/>
      <c r="W188" s="298"/>
      <c r="X188" s="299"/>
      <c r="Y188" s="300"/>
      <c r="Z188" s="301"/>
      <c r="AA188" s="276"/>
      <c r="AB188" s="302" t="s">
        <v>799</v>
      </c>
      <c r="AC188" s="695"/>
      <c r="AD188" s="695"/>
      <c r="AE188" s="303"/>
      <c r="AF188" s="304"/>
      <c r="AG188" s="305"/>
      <c r="AH188" s="276"/>
      <c r="AI188" s="306" t="s">
        <v>800</v>
      </c>
      <c r="AJ188" s="696"/>
      <c r="AK188" s="696"/>
      <c r="AL188" s="307"/>
      <c r="AM188" s="308"/>
      <c r="AN188" s="309"/>
      <c r="AW188" s="653"/>
    </row>
    <row r="189" spans="21:67" ht="15" hidden="1" customHeight="1" x14ac:dyDescent="0.25">
      <c r="U189" s="1504" t="s">
        <v>866</v>
      </c>
      <c r="V189" s="1505"/>
      <c r="W189" s="1506"/>
      <c r="X189" s="523">
        <v>20</v>
      </c>
      <c r="Y189" s="524">
        <v>40</v>
      </c>
      <c r="Z189" s="802" t="s">
        <v>755</v>
      </c>
      <c r="AA189" s="276"/>
      <c r="AB189" s="331" t="s">
        <v>867</v>
      </c>
      <c r="AC189" s="331"/>
      <c r="AD189" s="331"/>
      <c r="AE189" s="523">
        <v>20</v>
      </c>
      <c r="AF189" s="524">
        <v>50</v>
      </c>
      <c r="AG189" s="802" t="s">
        <v>759</v>
      </c>
      <c r="AH189" s="276"/>
      <c r="AI189" s="331" t="s">
        <v>868</v>
      </c>
      <c r="AJ189" s="331"/>
      <c r="AK189" s="331"/>
      <c r="AL189" s="523">
        <v>20</v>
      </c>
      <c r="AM189" s="524">
        <v>70</v>
      </c>
      <c r="AN189" s="802" t="s">
        <v>767</v>
      </c>
      <c r="AW189" s="653"/>
    </row>
    <row r="190" spans="21:67" ht="15" hidden="1" customHeight="1" x14ac:dyDescent="0.25">
      <c r="U190" s="1504" t="s">
        <v>869</v>
      </c>
      <c r="V190" s="1505"/>
      <c r="W190" s="1506"/>
      <c r="X190" s="523">
        <v>20</v>
      </c>
      <c r="Y190" s="524">
        <v>44</v>
      </c>
      <c r="Z190" s="802" t="s">
        <v>756</v>
      </c>
      <c r="AA190" s="276"/>
      <c r="AB190" s="331" t="s">
        <v>870</v>
      </c>
      <c r="AC190" s="331"/>
      <c r="AD190" s="331"/>
      <c r="AE190" s="523">
        <v>20</v>
      </c>
      <c r="AF190" s="524">
        <v>51</v>
      </c>
      <c r="AG190" s="802" t="s">
        <v>759</v>
      </c>
      <c r="AH190" s="276"/>
      <c r="AI190" s="331" t="s">
        <v>871</v>
      </c>
      <c r="AJ190" s="331"/>
      <c r="AK190" s="331"/>
      <c r="AL190" s="523">
        <v>20</v>
      </c>
      <c r="AM190" s="524">
        <v>69</v>
      </c>
      <c r="AN190" s="802" t="s">
        <v>766</v>
      </c>
      <c r="AW190" s="653"/>
    </row>
    <row r="191" spans="21:67" ht="15" hidden="1" customHeight="1" x14ac:dyDescent="0.25">
      <c r="U191" s="1504" t="s">
        <v>872</v>
      </c>
      <c r="V191" s="1505"/>
      <c r="W191" s="1506"/>
      <c r="X191" s="523">
        <v>20</v>
      </c>
      <c r="Y191" s="524">
        <v>43</v>
      </c>
      <c r="Z191" s="802" t="s">
        <v>756</v>
      </c>
      <c r="AA191" s="276"/>
      <c r="AB191" s="331" t="s">
        <v>873</v>
      </c>
      <c r="AC191" s="331"/>
      <c r="AD191" s="331"/>
      <c r="AE191" s="523">
        <v>20</v>
      </c>
      <c r="AF191" s="524">
        <v>52</v>
      </c>
      <c r="AG191" s="802" t="s">
        <v>759</v>
      </c>
      <c r="AH191" s="276"/>
      <c r="AI191" s="331" t="s">
        <v>874</v>
      </c>
      <c r="AJ191" s="331"/>
      <c r="AK191" s="331"/>
      <c r="AL191" s="523">
        <v>20</v>
      </c>
      <c r="AM191" s="524">
        <v>71</v>
      </c>
      <c r="AN191" s="802" t="s">
        <v>767</v>
      </c>
      <c r="AW191" s="653"/>
    </row>
    <row r="192" spans="21:67" ht="15" hidden="1" customHeight="1" x14ac:dyDescent="0.25">
      <c r="U192" s="1504" t="s">
        <v>875</v>
      </c>
      <c r="V192" s="1505"/>
      <c r="W192" s="1506"/>
      <c r="X192" s="523">
        <v>20</v>
      </c>
      <c r="Y192" s="524">
        <v>42</v>
      </c>
      <c r="Z192" s="802" t="s">
        <v>755</v>
      </c>
      <c r="AA192" s="276"/>
      <c r="AB192" s="331" t="s">
        <v>876</v>
      </c>
      <c r="AC192" s="331"/>
      <c r="AD192" s="331"/>
      <c r="AE192" s="523">
        <v>20</v>
      </c>
      <c r="AF192" s="524">
        <v>53</v>
      </c>
      <c r="AG192" s="802" t="s">
        <v>760</v>
      </c>
      <c r="AH192" s="276"/>
      <c r="AI192" s="331" t="s">
        <v>877</v>
      </c>
      <c r="AJ192" s="331"/>
      <c r="AK192" s="331"/>
      <c r="AL192" s="523">
        <v>20</v>
      </c>
      <c r="AM192" s="524">
        <v>70</v>
      </c>
      <c r="AN192" s="802" t="s">
        <v>767</v>
      </c>
      <c r="AW192" s="653"/>
    </row>
    <row r="193" spans="21:49" ht="15" hidden="1" customHeight="1" x14ac:dyDescent="0.25">
      <c r="U193" s="1504" t="s">
        <v>878</v>
      </c>
      <c r="V193" s="1505"/>
      <c r="W193" s="1506"/>
      <c r="X193" s="523">
        <v>20</v>
      </c>
      <c r="Y193" s="524">
        <v>41</v>
      </c>
      <c r="Z193" s="802" t="s">
        <v>755</v>
      </c>
      <c r="AA193" s="276"/>
      <c r="AB193" s="331" t="s">
        <v>879</v>
      </c>
      <c r="AC193" s="331"/>
      <c r="AD193" s="331"/>
      <c r="AE193" s="523">
        <v>20</v>
      </c>
      <c r="AF193" s="524">
        <v>54</v>
      </c>
      <c r="AG193" s="802" t="s">
        <v>760</v>
      </c>
      <c r="AH193" s="276"/>
      <c r="AI193" s="331" t="s">
        <v>880</v>
      </c>
      <c r="AJ193" s="331"/>
      <c r="AK193" s="331"/>
      <c r="AL193" s="523">
        <v>20</v>
      </c>
      <c r="AM193" s="524">
        <v>72</v>
      </c>
      <c r="AN193" s="802" t="s">
        <v>767</v>
      </c>
      <c r="AW193" s="653"/>
    </row>
    <row r="194" spans="21:49" ht="15" hidden="1" customHeight="1" x14ac:dyDescent="0.25">
      <c r="U194" s="1504" t="s">
        <v>881</v>
      </c>
      <c r="V194" s="1505"/>
      <c r="W194" s="1506"/>
      <c r="X194" s="523">
        <v>20</v>
      </c>
      <c r="Y194" s="524">
        <v>44</v>
      </c>
      <c r="Z194" s="802" t="s">
        <v>756</v>
      </c>
      <c r="AA194" s="276"/>
      <c r="AB194" s="331" t="s">
        <v>882</v>
      </c>
      <c r="AC194" s="331"/>
      <c r="AD194" s="331"/>
      <c r="AE194" s="523">
        <v>20</v>
      </c>
      <c r="AF194" s="524">
        <v>55</v>
      </c>
      <c r="AG194" s="802" t="s">
        <v>761</v>
      </c>
      <c r="AH194" s="276"/>
      <c r="AI194" s="331" t="s">
        <v>883</v>
      </c>
      <c r="AJ194" s="331"/>
      <c r="AK194" s="331"/>
      <c r="AL194" s="523">
        <v>20</v>
      </c>
      <c r="AM194" s="524">
        <v>68</v>
      </c>
      <c r="AN194" s="802" t="s">
        <v>766</v>
      </c>
      <c r="AW194" s="653"/>
    </row>
    <row r="195" spans="21:49" ht="15" hidden="1" customHeight="1" x14ac:dyDescent="0.25">
      <c r="U195" s="759"/>
      <c r="V195" s="759"/>
      <c r="W195" s="759"/>
      <c r="X195" s="355"/>
      <c r="Y195" s="355"/>
      <c r="Z195" s="355"/>
      <c r="AA195" s="484"/>
      <c r="AB195" s="355"/>
      <c r="AC195" s="355"/>
      <c r="AD195" s="355"/>
      <c r="AE195" s="759"/>
      <c r="AF195" s="355"/>
      <c r="AG195" s="355"/>
      <c r="AH195" s="355"/>
      <c r="AI195" s="759"/>
      <c r="AJ195" s="759"/>
      <c r="AK195" s="759"/>
      <c r="AL195" s="415"/>
      <c r="AM195" s="416" t="s">
        <v>887</v>
      </c>
      <c r="AN195" s="355"/>
      <c r="AW195" s="653"/>
    </row>
    <row r="196" spans="21:49" ht="15" hidden="1" customHeight="1" x14ac:dyDescent="0.25">
      <c r="U196" s="759"/>
      <c r="V196" s="759"/>
      <c r="W196" s="759"/>
      <c r="X196" s="355"/>
      <c r="Y196" s="355"/>
      <c r="Z196" s="355"/>
      <c r="AA196" s="484"/>
      <c r="AB196" s="355"/>
      <c r="AC196" s="355"/>
      <c r="AD196" s="355"/>
      <c r="AE196" s="759"/>
      <c r="AF196" s="355"/>
      <c r="AG196" s="355"/>
      <c r="AH196" s="355"/>
      <c r="AI196" s="759"/>
      <c r="AJ196" s="759"/>
      <c r="AK196" s="759"/>
      <c r="AL196" s="425" t="s">
        <v>854</v>
      </c>
      <c r="AM196" s="426">
        <v>15.460000000000008</v>
      </c>
      <c r="AN196" s="355"/>
      <c r="AW196" s="653"/>
    </row>
    <row r="197" spans="21:49" ht="15" hidden="1" customHeight="1" x14ac:dyDescent="0.25">
      <c r="U197" s="759"/>
      <c r="V197" s="759"/>
      <c r="W197" s="759"/>
      <c r="X197" s="355"/>
      <c r="Y197" s="431" t="s">
        <v>855</v>
      </c>
      <c r="Z197" s="459"/>
      <c r="AA197" s="459"/>
      <c r="AB197" s="459"/>
      <c r="AC197" s="459"/>
      <c r="AD197" s="459"/>
      <c r="AE197" s="459"/>
      <c r="AF197" s="459"/>
      <c r="AG197" s="459"/>
      <c r="AH197" s="459"/>
      <c r="AI197" s="459"/>
      <c r="AJ197" s="459"/>
      <c r="AK197" s="459"/>
      <c r="AL197" s="519"/>
      <c r="AM197" s="435">
        <v>70.400000000000006</v>
      </c>
      <c r="AN197" s="355"/>
      <c r="AW197" s="653"/>
    </row>
    <row r="198" spans="21:49" ht="15" hidden="1" customHeight="1" x14ac:dyDescent="0.25">
      <c r="U198" s="759"/>
      <c r="V198" s="759"/>
      <c r="W198" s="759"/>
      <c r="X198" s="355"/>
      <c r="Y198" s="431" t="s">
        <v>825</v>
      </c>
      <c r="Z198" s="432"/>
      <c r="AA198" s="432"/>
      <c r="AB198" s="432"/>
      <c r="AC198" s="432"/>
      <c r="AD198" s="432"/>
      <c r="AE198" s="432"/>
      <c r="AF198" s="432"/>
      <c r="AG198" s="432"/>
      <c r="AH198" s="432"/>
      <c r="AI198" s="433"/>
      <c r="AJ198" s="433"/>
      <c r="AK198" s="433"/>
      <c r="AL198" s="434"/>
      <c r="AM198" s="435">
        <v>54.94</v>
      </c>
      <c r="AN198" s="355"/>
      <c r="AW198" s="653"/>
    </row>
    <row r="199" spans="21:49" ht="15" hidden="1" customHeight="1" x14ac:dyDescent="0.25">
      <c r="U199" s="759" t="s">
        <v>1141</v>
      </c>
      <c r="V199" s="759"/>
      <c r="W199" s="759"/>
      <c r="X199" s="355"/>
      <c r="Y199" s="355"/>
      <c r="Z199" s="355"/>
      <c r="AA199" s="484"/>
      <c r="AB199" s="355"/>
      <c r="AC199" s="355"/>
      <c r="AD199" s="355"/>
      <c r="AE199" s="759"/>
      <c r="AF199" s="355"/>
      <c r="AG199" s="355"/>
      <c r="AH199" s="355"/>
      <c r="AI199" s="759"/>
      <c r="AJ199" s="759"/>
      <c r="AK199" s="759"/>
      <c r="AL199" s="355"/>
      <c r="AM199" s="879"/>
      <c r="AN199" s="355"/>
      <c r="AW199" s="653"/>
    </row>
    <row r="200" spans="21:49" ht="15" hidden="1" customHeight="1" x14ac:dyDescent="0.25">
      <c r="U200" s="297" t="s">
        <v>798</v>
      </c>
      <c r="V200" s="298"/>
      <c r="W200" s="298"/>
      <c r="X200" s="299"/>
      <c r="Y200" s="300"/>
      <c r="Z200" s="301"/>
      <c r="AA200" s="276"/>
      <c r="AB200" s="302" t="s">
        <v>799</v>
      </c>
      <c r="AC200" s="695"/>
      <c r="AD200" s="695"/>
      <c r="AE200" s="303"/>
      <c r="AF200" s="304"/>
      <c r="AG200" s="305"/>
      <c r="AH200" s="276"/>
      <c r="AI200" s="306" t="s">
        <v>800</v>
      </c>
      <c r="AJ200" s="696"/>
      <c r="AK200" s="696"/>
      <c r="AL200" s="307"/>
      <c r="AM200" s="308"/>
      <c r="AN200" s="309"/>
      <c r="AW200" s="653"/>
    </row>
    <row r="201" spans="21:49" ht="15" hidden="1" customHeight="1" x14ac:dyDescent="0.25">
      <c r="U201" s="1517" t="s">
        <v>808</v>
      </c>
      <c r="V201" s="1518"/>
      <c r="W201" s="1519"/>
      <c r="X201" s="315" t="s">
        <v>809</v>
      </c>
      <c r="Y201" s="315" t="s">
        <v>810</v>
      </c>
      <c r="Z201" s="315" t="s">
        <v>811</v>
      </c>
      <c r="AA201" s="276"/>
      <c r="AB201" s="316" t="s">
        <v>808</v>
      </c>
      <c r="AC201" s="316"/>
      <c r="AD201" s="316"/>
      <c r="AE201" s="803" t="s">
        <v>809</v>
      </c>
      <c r="AF201" s="803" t="s">
        <v>810</v>
      </c>
      <c r="AG201" s="803" t="s">
        <v>811</v>
      </c>
      <c r="AH201" s="260"/>
      <c r="AI201" s="316" t="s">
        <v>808</v>
      </c>
      <c r="AJ201" s="316"/>
      <c r="AK201" s="316"/>
      <c r="AL201" s="803" t="s">
        <v>809</v>
      </c>
      <c r="AM201" s="803" t="s">
        <v>810</v>
      </c>
      <c r="AN201" s="803" t="s">
        <v>811</v>
      </c>
      <c r="AW201" s="653"/>
    </row>
    <row r="202" spans="21:49" ht="15" hidden="1" customHeight="1" x14ac:dyDescent="0.25">
      <c r="U202" s="1504" t="s">
        <v>866</v>
      </c>
      <c r="V202" s="1505"/>
      <c r="W202" s="1506"/>
      <c r="X202" s="523">
        <v>30</v>
      </c>
      <c r="Y202" s="524">
        <v>54</v>
      </c>
      <c r="Z202" s="802" t="s">
        <v>760</v>
      </c>
      <c r="AA202" s="276"/>
      <c r="AB202" s="331" t="s">
        <v>867</v>
      </c>
      <c r="AC202" s="331"/>
      <c r="AD202" s="331"/>
      <c r="AE202" s="523">
        <v>15</v>
      </c>
      <c r="AF202" s="524">
        <v>43</v>
      </c>
      <c r="AG202" s="802" t="s">
        <v>756</v>
      </c>
      <c r="AH202" s="276"/>
      <c r="AI202" s="331" t="s">
        <v>868</v>
      </c>
      <c r="AJ202" s="331"/>
      <c r="AK202" s="331"/>
      <c r="AL202" s="523">
        <v>30</v>
      </c>
      <c r="AM202" s="524">
        <v>66</v>
      </c>
      <c r="AN202" s="802" t="s">
        <v>765</v>
      </c>
      <c r="AW202" s="653"/>
    </row>
    <row r="203" spans="21:49" ht="15" hidden="1" customHeight="1" x14ac:dyDescent="0.25">
      <c r="U203" s="1504" t="s">
        <v>869</v>
      </c>
      <c r="V203" s="1505"/>
      <c r="W203" s="1506"/>
      <c r="X203" s="523">
        <v>30</v>
      </c>
      <c r="Y203" s="876">
        <v>57</v>
      </c>
      <c r="Z203" s="802" t="s">
        <v>761</v>
      </c>
      <c r="AA203" s="276"/>
      <c r="AB203" s="331" t="s">
        <v>870</v>
      </c>
      <c r="AC203" s="331"/>
      <c r="AD203" s="331"/>
      <c r="AE203" s="523">
        <v>15</v>
      </c>
      <c r="AF203" s="876">
        <v>66</v>
      </c>
      <c r="AG203" s="802" t="s">
        <v>765</v>
      </c>
      <c r="AH203" s="276"/>
      <c r="AI203" s="331" t="s">
        <v>871</v>
      </c>
      <c r="AJ203" s="331"/>
      <c r="AK203" s="331"/>
      <c r="AL203" s="523">
        <v>30</v>
      </c>
      <c r="AM203" s="876">
        <v>71</v>
      </c>
      <c r="AN203" s="802" t="s">
        <v>767</v>
      </c>
      <c r="AW203" s="653"/>
    </row>
    <row r="204" spans="21:49" ht="15" hidden="1" customHeight="1" x14ac:dyDescent="0.25">
      <c r="U204" s="1504" t="s">
        <v>872</v>
      </c>
      <c r="V204" s="1505"/>
      <c r="W204" s="1506"/>
      <c r="X204" s="523">
        <v>15</v>
      </c>
      <c r="Y204" s="876">
        <v>63</v>
      </c>
      <c r="Z204" s="802" t="s">
        <v>764</v>
      </c>
      <c r="AA204" s="276"/>
      <c r="AB204" s="331" t="s">
        <v>873</v>
      </c>
      <c r="AC204" s="331"/>
      <c r="AD204" s="331"/>
      <c r="AE204" s="523">
        <v>15</v>
      </c>
      <c r="AF204" s="876">
        <v>50</v>
      </c>
      <c r="AG204" s="802" t="s">
        <v>759</v>
      </c>
      <c r="AH204" s="276"/>
      <c r="AI204" s="331" t="s">
        <v>874</v>
      </c>
      <c r="AJ204" s="331"/>
      <c r="AK204" s="331"/>
      <c r="AL204" s="523">
        <v>15</v>
      </c>
      <c r="AM204" s="876">
        <v>74</v>
      </c>
      <c r="AN204" s="802" t="s">
        <v>768</v>
      </c>
      <c r="AW204" s="653"/>
    </row>
    <row r="205" spans="21:49" ht="15" hidden="1" customHeight="1" x14ac:dyDescent="0.25">
      <c r="U205" s="1504" t="s">
        <v>875</v>
      </c>
      <c r="V205" s="1505"/>
      <c r="W205" s="1506"/>
      <c r="X205" s="523">
        <v>15</v>
      </c>
      <c r="Y205" s="876">
        <v>65</v>
      </c>
      <c r="Z205" s="802" t="s">
        <v>765</v>
      </c>
      <c r="AA205" s="276"/>
      <c r="AB205" s="331" t="s">
        <v>876</v>
      </c>
      <c r="AC205" s="331"/>
      <c r="AD205" s="331"/>
      <c r="AE205" s="523">
        <v>15</v>
      </c>
      <c r="AF205" s="876">
        <v>56</v>
      </c>
      <c r="AG205" s="802" t="s">
        <v>761</v>
      </c>
      <c r="AH205" s="276"/>
      <c r="AI205" s="331" t="s">
        <v>877</v>
      </c>
      <c r="AJ205" s="331"/>
      <c r="AK205" s="331"/>
      <c r="AL205" s="523">
        <v>15</v>
      </c>
      <c r="AM205" s="876">
        <v>75</v>
      </c>
      <c r="AN205" s="802" t="s">
        <v>769</v>
      </c>
      <c r="AW205" s="653"/>
    </row>
    <row r="206" spans="21:49" ht="15" hidden="1" customHeight="1" x14ac:dyDescent="0.25">
      <c r="U206" s="1504" t="s">
        <v>878</v>
      </c>
      <c r="V206" s="1505"/>
      <c r="W206" s="1506"/>
      <c r="X206" s="523">
        <v>15</v>
      </c>
      <c r="Y206" s="876">
        <v>72</v>
      </c>
      <c r="Z206" s="802" t="s">
        <v>767</v>
      </c>
      <c r="AA206" s="276"/>
      <c r="AB206" s="331" t="s">
        <v>879</v>
      </c>
      <c r="AC206" s="331"/>
      <c r="AD206" s="331"/>
      <c r="AE206" s="523">
        <v>30</v>
      </c>
      <c r="AF206" s="876">
        <v>60</v>
      </c>
      <c r="AG206" s="802" t="s">
        <v>763</v>
      </c>
      <c r="AH206" s="276"/>
      <c r="AI206" s="331" t="s">
        <v>880</v>
      </c>
      <c r="AJ206" s="331"/>
      <c r="AK206" s="331"/>
      <c r="AL206" s="523">
        <v>15</v>
      </c>
      <c r="AM206" s="876">
        <v>75</v>
      </c>
      <c r="AN206" s="802" t="s">
        <v>769</v>
      </c>
      <c r="AW206" s="653"/>
    </row>
    <row r="207" spans="21:49" ht="15" hidden="1" customHeight="1" x14ac:dyDescent="0.25">
      <c r="U207" s="1504" t="s">
        <v>881</v>
      </c>
      <c r="V207" s="1505"/>
      <c r="W207" s="1506"/>
      <c r="X207" s="523">
        <v>15</v>
      </c>
      <c r="Y207" s="876">
        <v>80</v>
      </c>
      <c r="Z207" s="802" t="s">
        <v>771</v>
      </c>
      <c r="AA207" s="276"/>
      <c r="AB207" s="331" t="s">
        <v>882</v>
      </c>
      <c r="AC207" s="331"/>
      <c r="AD207" s="331"/>
      <c r="AE207" s="523">
        <v>30</v>
      </c>
      <c r="AF207" s="876">
        <v>60</v>
      </c>
      <c r="AG207" s="802" t="s">
        <v>763</v>
      </c>
      <c r="AH207" s="276"/>
      <c r="AI207" s="331" t="s">
        <v>883</v>
      </c>
      <c r="AJ207" s="331"/>
      <c r="AK207" s="331"/>
      <c r="AL207" s="523">
        <v>15</v>
      </c>
      <c r="AM207" s="876">
        <v>81</v>
      </c>
      <c r="AN207" s="802" t="s">
        <v>771</v>
      </c>
      <c r="AW207" s="653"/>
    </row>
    <row r="208" spans="21:49" ht="15" hidden="1" customHeight="1" x14ac:dyDescent="0.25">
      <c r="AW208" s="653"/>
    </row>
    <row r="209" ht="15" hidden="1" customHeight="1" x14ac:dyDescent="0.25"/>
    <row r="210" ht="15" hidden="1" customHeight="1" x14ac:dyDescent="0.25"/>
    <row r="211" ht="15" hidden="1" customHeight="1" x14ac:dyDescent="0.25"/>
    <row r="212" ht="15" hidden="1" customHeight="1" x14ac:dyDescent="0.25"/>
    <row r="213" ht="15" hidden="1" customHeight="1" x14ac:dyDescent="0.25"/>
    <row r="214" ht="15" hidden="1" customHeight="1" x14ac:dyDescent="0.25"/>
    <row r="215" ht="15" hidden="1" customHeight="1" x14ac:dyDescent="0.25"/>
    <row r="216" ht="15" hidden="1" customHeight="1" x14ac:dyDescent="0.25"/>
    <row r="217" ht="15" hidden="1" customHeight="1" x14ac:dyDescent="0.25"/>
    <row r="218" ht="15" hidden="1" customHeight="1" x14ac:dyDescent="0.25"/>
    <row r="219" ht="15" hidden="1" customHeight="1" x14ac:dyDescent="0.25"/>
    <row r="220" ht="15" hidden="1" customHeight="1" x14ac:dyDescent="0.25"/>
    <row r="221" ht="15" hidden="1" customHeight="1" x14ac:dyDescent="0.25"/>
    <row r="222" ht="15" hidden="1" customHeight="1" x14ac:dyDescent="0.25"/>
    <row r="223" ht="15" hidden="1" customHeight="1" x14ac:dyDescent="0.25"/>
    <row r="224" ht="15" hidden="1" customHeight="1" x14ac:dyDescent="0.25"/>
    <row r="225" ht="15" hidden="1" customHeight="1" x14ac:dyDescent="0.25"/>
    <row r="226" ht="15" hidden="1" customHeight="1" x14ac:dyDescent="0.25"/>
    <row r="227" ht="15" hidden="1" customHeight="1" x14ac:dyDescent="0.25"/>
    <row r="228" ht="15" hidden="1" customHeight="1" x14ac:dyDescent="0.25"/>
    <row r="229" ht="15" hidden="1" customHeight="1" x14ac:dyDescent="0.25"/>
    <row r="230" ht="15" hidden="1" customHeight="1" x14ac:dyDescent="0.25"/>
    <row r="231" ht="15" hidden="1" customHeight="1" x14ac:dyDescent="0.25"/>
    <row r="232" ht="15" hidden="1" customHeight="1" x14ac:dyDescent="0.25"/>
    <row r="233" ht="15" hidden="1" customHeight="1" x14ac:dyDescent="0.25"/>
    <row r="234" ht="15" hidden="1" customHeight="1" x14ac:dyDescent="0.25"/>
    <row r="235" ht="15" hidden="1" customHeight="1" x14ac:dyDescent="0.25"/>
    <row r="236" ht="15" hidden="1" customHeight="1" x14ac:dyDescent="0.25"/>
    <row r="237" ht="15" hidden="1" customHeight="1" x14ac:dyDescent="0.25"/>
    <row r="238" ht="15" hidden="1" customHeight="1" x14ac:dyDescent="0.25"/>
    <row r="239" ht="15" hidden="1" customHeight="1" x14ac:dyDescent="0.25"/>
    <row r="240" ht="15" hidden="1" customHeight="1" x14ac:dyDescent="0.25"/>
    <row r="241" ht="15" hidden="1" customHeight="1" x14ac:dyDescent="0.25"/>
    <row r="242" ht="15" hidden="1" customHeight="1" x14ac:dyDescent="0.25"/>
    <row r="243" ht="15" hidden="1" customHeight="1" x14ac:dyDescent="0.25"/>
    <row r="244" ht="15" hidden="1" customHeight="1" x14ac:dyDescent="0.25"/>
    <row r="245" ht="15" hidden="1" customHeight="1" x14ac:dyDescent="0.25"/>
    <row r="246" ht="15" hidden="1" customHeight="1" x14ac:dyDescent="0.25"/>
    <row r="247" ht="15" hidden="1" customHeight="1" x14ac:dyDescent="0.25"/>
    <row r="248" ht="15" hidden="1" customHeight="1" x14ac:dyDescent="0.25"/>
    <row r="249" ht="15" hidden="1" customHeight="1" x14ac:dyDescent="0.25"/>
    <row r="250" ht="15" hidden="1" customHeight="1" x14ac:dyDescent="0.25"/>
    <row r="251" ht="15" hidden="1" customHeight="1" x14ac:dyDescent="0.25"/>
    <row r="252" ht="15" hidden="1" customHeight="1" x14ac:dyDescent="0.25"/>
    <row r="253" ht="15" hidden="1" customHeight="1" x14ac:dyDescent="0.25"/>
    <row r="254" ht="15" hidden="1" customHeight="1" x14ac:dyDescent="0.25"/>
    <row r="255" ht="15" hidden="1" customHeight="1" x14ac:dyDescent="0.25"/>
    <row r="256" ht="15" hidden="1" customHeight="1" x14ac:dyDescent="0.25"/>
    <row r="257" ht="15" hidden="1" customHeight="1" x14ac:dyDescent="0.25"/>
    <row r="258" ht="15" hidden="1" customHeight="1" x14ac:dyDescent="0.25"/>
    <row r="259" ht="15" hidden="1" customHeight="1" x14ac:dyDescent="0.25"/>
    <row r="260" ht="15" hidden="1" customHeight="1" x14ac:dyDescent="0.25"/>
    <row r="261" ht="15" hidden="1" customHeight="1" x14ac:dyDescent="0.25"/>
    <row r="262" ht="15" hidden="1" customHeight="1" x14ac:dyDescent="0.25"/>
    <row r="263" ht="15" hidden="1" customHeight="1" x14ac:dyDescent="0.25"/>
    <row r="264" ht="15" hidden="1" customHeight="1" x14ac:dyDescent="0.25"/>
    <row r="265" ht="15" hidden="1" customHeight="1" x14ac:dyDescent="0.25"/>
    <row r="266" ht="15" hidden="1" customHeight="1" x14ac:dyDescent="0.25"/>
    <row r="267" ht="15" hidden="1" customHeight="1" x14ac:dyDescent="0.25"/>
    <row r="268" ht="15" hidden="1" customHeight="1" x14ac:dyDescent="0.25"/>
    <row r="269" ht="15" hidden="1" customHeight="1" x14ac:dyDescent="0.25"/>
    <row r="270" ht="15" hidden="1" customHeight="1" x14ac:dyDescent="0.25"/>
    <row r="271" ht="15" hidden="1" customHeight="1" x14ac:dyDescent="0.25"/>
    <row r="272"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75" spans="1:17" ht="15" customHeight="1" x14ac:dyDescent="0.25">
      <c r="Q375" s="1049"/>
    </row>
    <row r="376" spans="1:17" ht="15" customHeight="1" x14ac:dyDescent="0.25">
      <c r="A376" s="218"/>
      <c r="B376" s="220"/>
      <c r="C376" s="220"/>
      <c r="D376" s="1053"/>
      <c r="E376" s="220"/>
      <c r="F376" s="220"/>
      <c r="G376" s="1049"/>
      <c r="H376" s="1049"/>
      <c r="I376" s="1049"/>
      <c r="J376" s="1049"/>
      <c r="K376" s="1049"/>
      <c r="L376" s="1049"/>
      <c r="M376" s="1049"/>
      <c r="N376" s="1049"/>
      <c r="O376" s="1049"/>
      <c r="P376" s="1049"/>
      <c r="Q376" s="1049"/>
    </row>
    <row r="377" spans="1:17" ht="15" customHeight="1" x14ac:dyDescent="0.25">
      <c r="A377" s="218"/>
      <c r="B377" s="220"/>
      <c r="C377" s="220"/>
      <c r="D377" s="1053"/>
      <c r="E377" s="220"/>
      <c r="F377" s="220"/>
      <c r="G377" s="1049"/>
      <c r="H377" s="1049"/>
      <c r="I377" s="1049"/>
      <c r="J377" s="1049"/>
      <c r="K377" s="1049"/>
      <c r="L377" s="1049"/>
      <c r="M377" s="1049"/>
      <c r="N377" s="1049"/>
      <c r="O377" s="1049"/>
      <c r="P377" s="1049"/>
      <c r="Q377" s="1052"/>
    </row>
    <row r="378" spans="1:17" ht="15" customHeight="1" x14ac:dyDescent="0.25">
      <c r="A378" s="1050"/>
      <c r="B378" s="1051"/>
      <c r="C378" s="1051"/>
      <c r="D378" s="1051"/>
      <c r="E378" s="1051"/>
      <c r="F378" s="1054"/>
      <c r="G378" s="1052"/>
      <c r="H378" s="1052"/>
      <c r="I378" s="1052"/>
      <c r="J378" s="1052"/>
      <c r="K378" s="1052"/>
      <c r="L378" s="1052"/>
      <c r="M378" s="1052"/>
      <c r="N378" s="1052"/>
      <c r="O378" s="1052"/>
      <c r="P378" s="1052"/>
      <c r="Q378" s="1049"/>
    </row>
    <row r="379" spans="1:17" ht="15" customHeight="1" x14ac:dyDescent="0.25">
      <c r="A379" s="218"/>
      <c r="B379" s="220"/>
      <c r="C379" s="594"/>
      <c r="D379" s="1053"/>
      <c r="E379" s="220"/>
      <c r="F379" s="220"/>
      <c r="G379" s="1049"/>
      <c r="H379" s="1049"/>
      <c r="I379" s="1049"/>
      <c r="J379" s="1049"/>
      <c r="K379" s="1049"/>
      <c r="L379" s="1049"/>
      <c r="M379" s="1049"/>
      <c r="N379" s="1049"/>
      <c r="O379" s="1049"/>
      <c r="P379" s="1049"/>
      <c r="Q379" s="1056"/>
    </row>
    <row r="380" spans="1:17" ht="15" customHeight="1" x14ac:dyDescent="0.25">
      <c r="A380" s="218"/>
      <c r="B380" s="220"/>
      <c r="C380" s="594"/>
      <c r="D380" s="1053"/>
      <c r="E380" s="220"/>
      <c r="F380" s="220"/>
      <c r="G380" s="1545"/>
      <c r="H380" s="1056"/>
      <c r="I380" s="1056"/>
      <c r="J380" s="1056"/>
      <c r="K380" s="1056"/>
      <c r="L380" s="1056"/>
      <c r="M380" s="1056"/>
      <c r="N380" s="1056"/>
      <c r="O380" s="1056"/>
      <c r="P380" s="1056"/>
      <c r="Q380" s="1056"/>
    </row>
    <row r="381" spans="1:17" ht="15" customHeight="1" x14ac:dyDescent="0.25">
      <c r="A381" s="218"/>
      <c r="B381" s="220"/>
      <c r="C381" s="594"/>
      <c r="D381" s="1053"/>
      <c r="E381" s="220"/>
      <c r="F381" s="220"/>
      <c r="G381" s="1545"/>
      <c r="H381" s="1056"/>
      <c r="I381" s="1056"/>
      <c r="J381" s="1056"/>
      <c r="K381" s="1056"/>
      <c r="L381" s="1056"/>
      <c r="M381" s="1056"/>
      <c r="N381" s="1056"/>
      <c r="O381" s="1056"/>
      <c r="P381" s="1056"/>
      <c r="Q381" s="1056"/>
    </row>
    <row r="382" spans="1:17" ht="15" customHeight="1" x14ac:dyDescent="0.25">
      <c r="A382" s="218"/>
      <c r="B382" s="220"/>
      <c r="C382" s="594"/>
      <c r="D382" s="1053"/>
      <c r="E382" s="220"/>
      <c r="F382" s="220"/>
      <c r="G382" s="1545"/>
      <c r="H382" s="1056"/>
      <c r="I382" s="1056"/>
      <c r="J382" s="1056"/>
      <c r="K382" s="1056"/>
      <c r="L382" s="1056"/>
      <c r="M382" s="1056"/>
      <c r="N382" s="1056"/>
      <c r="O382" s="1056"/>
      <c r="P382" s="1056"/>
      <c r="Q382" s="1052"/>
    </row>
    <row r="383" spans="1:17" ht="15" customHeight="1" x14ac:dyDescent="0.25">
      <c r="A383" s="1050"/>
      <c r="B383" s="1051"/>
      <c r="C383" s="1051"/>
      <c r="D383" s="1051"/>
      <c r="E383" s="1051"/>
      <c r="F383" s="1054"/>
      <c r="G383" s="1052"/>
      <c r="H383" s="1052"/>
      <c r="I383" s="1052"/>
      <c r="J383" s="1052"/>
      <c r="K383" s="1052"/>
      <c r="L383" s="1052"/>
      <c r="M383" s="1052"/>
      <c r="N383" s="1052"/>
      <c r="O383" s="1052"/>
      <c r="P383" s="1052"/>
      <c r="Q383" s="1049"/>
    </row>
    <row r="384" spans="1:17" ht="15" customHeight="1" x14ac:dyDescent="0.25">
      <c r="A384" s="218"/>
      <c r="B384" s="220"/>
      <c r="C384" s="220"/>
      <c r="D384" s="220"/>
      <c r="E384" s="220"/>
      <c r="F384" s="220"/>
      <c r="G384" s="1049"/>
      <c r="H384" s="1049"/>
      <c r="I384" s="1049"/>
      <c r="J384" s="1049"/>
      <c r="K384" s="1049"/>
      <c r="L384" s="1049"/>
      <c r="M384" s="1049"/>
      <c r="N384" s="1049"/>
      <c r="O384" s="1049"/>
      <c r="P384" s="1049"/>
    </row>
    <row r="472" spans="21:39" ht="15" customHeight="1" x14ac:dyDescent="0.25">
      <c r="U472" s="473"/>
      <c r="V472" s="473"/>
      <c r="W472" s="473"/>
      <c r="X472" s="81"/>
      <c r="Y472" s="81"/>
      <c r="Z472" s="81"/>
      <c r="AA472" s="8"/>
      <c r="AB472" s="81"/>
      <c r="AC472" s="81"/>
      <c r="AD472" s="81"/>
      <c r="AE472" s="473"/>
      <c r="AF472" s="81"/>
      <c r="AG472" s="81"/>
      <c r="AH472" s="81"/>
      <c r="AI472" s="473"/>
      <c r="AJ472" s="473"/>
      <c r="AK472" s="473"/>
      <c r="AL472" s="81"/>
      <c r="AM472" s="81"/>
    </row>
    <row r="473" spans="21:39" ht="15" customHeight="1" x14ac:dyDescent="0.25">
      <c r="U473" s="473"/>
      <c r="V473" s="473"/>
      <c r="W473" s="473"/>
      <c r="X473" s="81"/>
      <c r="Y473" s="81"/>
      <c r="Z473" s="81"/>
      <c r="AA473" s="8"/>
      <c r="AB473" s="81"/>
      <c r="AC473" s="81"/>
      <c r="AD473" s="81"/>
      <c r="AE473" s="473"/>
      <c r="AF473" s="81"/>
      <c r="AG473" s="81"/>
      <c r="AH473" s="81"/>
      <c r="AI473" s="473"/>
      <c r="AJ473" s="473"/>
      <c r="AK473" s="473"/>
      <c r="AL473" s="81"/>
      <c r="AM473" s="81"/>
    </row>
    <row r="474" spans="21:39" ht="15" customHeight="1" x14ac:dyDescent="0.25">
      <c r="U474" s="525"/>
      <c r="V474" s="525"/>
      <c r="W474" s="525"/>
      <c r="X474" s="525"/>
      <c r="Y474" s="525"/>
      <c r="Z474" s="525"/>
      <c r="AA474" s="525"/>
      <c r="AB474" s="525"/>
      <c r="AC474" s="525"/>
      <c r="AD474" s="525"/>
      <c r="AE474" s="525"/>
      <c r="AF474" s="525"/>
      <c r="AG474" s="525"/>
      <c r="AH474" s="525"/>
      <c r="AI474" s="525"/>
      <c r="AJ474" s="525"/>
      <c r="AK474" s="525"/>
      <c r="AL474" s="526"/>
      <c r="AM474" s="81"/>
    </row>
    <row r="475" spans="21:39" ht="15" customHeight="1" x14ac:dyDescent="0.25">
      <c r="U475" s="335"/>
      <c r="V475" s="335"/>
      <c r="W475" s="527"/>
      <c r="X475" s="527"/>
      <c r="Y475" s="528"/>
      <c r="Z475" s="251"/>
      <c r="AA475" s="529"/>
      <c r="AB475" s="529"/>
      <c r="AC475" s="529"/>
      <c r="AD475" s="529"/>
      <c r="AE475" s="529"/>
      <c r="AF475" s="529"/>
      <c r="AG475" s="529"/>
      <c r="AH475" s="529"/>
      <c r="AI475" s="529"/>
      <c r="AJ475" s="529"/>
      <c r="AK475" s="529"/>
      <c r="AL475" s="50"/>
      <c r="AM475" s="81"/>
    </row>
    <row r="476" spans="21:39" ht="15" customHeight="1" x14ac:dyDescent="0.25">
      <c r="U476" s="527"/>
      <c r="V476" s="527"/>
      <c r="W476" s="527"/>
      <c r="X476" s="527"/>
      <c r="Y476" s="527"/>
      <c r="Z476" s="527"/>
      <c r="AA476" s="527"/>
      <c r="AB476" s="527"/>
      <c r="AC476" s="527"/>
      <c r="AD476" s="527"/>
      <c r="AE476" s="527"/>
      <c r="AF476" s="527"/>
      <c r="AG476" s="527"/>
      <c r="AH476" s="527"/>
      <c r="AI476" s="527"/>
      <c r="AJ476" s="527"/>
      <c r="AK476" s="527"/>
      <c r="AL476" s="530"/>
      <c r="AM476" s="81"/>
    </row>
    <row r="477" spans="21:39" ht="15" customHeight="1" x14ac:dyDescent="0.25">
      <c r="U477" s="335"/>
      <c r="V477" s="218"/>
      <c r="W477" s="531"/>
      <c r="X477" s="531"/>
      <c r="Y477" s="528"/>
      <c r="Z477" s="464"/>
      <c r="AA477" s="464"/>
      <c r="AB477" s="464"/>
      <c r="AC477" s="464"/>
      <c r="AD477" s="464"/>
      <c r="AE477" s="464"/>
      <c r="AF477" s="464"/>
      <c r="AG477" s="464"/>
      <c r="AH477" s="464"/>
      <c r="AI477" s="50"/>
      <c r="AJ477" s="50"/>
      <c r="AK477" s="50"/>
      <c r="AL477" s="50"/>
      <c r="AM477" s="81"/>
    </row>
    <row r="478" spans="21:39" ht="15" customHeight="1" x14ac:dyDescent="0.25">
      <c r="U478" s="335"/>
      <c r="V478" s="218"/>
      <c r="W478" s="531"/>
      <c r="X478" s="531"/>
      <c r="Y478" s="528"/>
      <c r="Z478" s="464"/>
      <c r="AA478" s="464"/>
      <c r="AB478" s="464"/>
      <c r="AC478" s="464"/>
      <c r="AD478" s="464"/>
      <c r="AE478" s="464"/>
      <c r="AF478" s="464"/>
      <c r="AG478" s="464"/>
      <c r="AH478" s="464"/>
      <c r="AI478" s="50"/>
      <c r="AJ478" s="50"/>
      <c r="AK478" s="50"/>
      <c r="AL478" s="50"/>
      <c r="AM478" s="81"/>
    </row>
    <row r="479" spans="21:39" ht="15" customHeight="1" x14ac:dyDescent="0.25">
      <c r="U479" s="532"/>
      <c r="V479" s="527"/>
      <c r="W479" s="527"/>
      <c r="X479" s="527"/>
      <c r="Y479" s="532"/>
      <c r="Z479" s="527"/>
      <c r="AA479" s="527"/>
      <c r="AB479" s="527"/>
      <c r="AC479" s="527"/>
      <c r="AD479" s="527"/>
      <c r="AE479" s="527"/>
      <c r="AF479" s="527"/>
      <c r="AG479" s="527"/>
      <c r="AH479" s="527"/>
      <c r="AI479" s="50"/>
      <c r="AJ479" s="50"/>
      <c r="AK479" s="50"/>
      <c r="AL479" s="50"/>
      <c r="AM479" s="81"/>
    </row>
    <row r="480" spans="21:39" ht="15" customHeight="1" x14ac:dyDescent="0.25">
      <c r="U480" s="335"/>
      <c r="V480" s="218"/>
      <c r="W480" s="531"/>
      <c r="X480" s="531"/>
      <c r="Y480" s="528"/>
      <c r="Z480" s="464"/>
      <c r="AA480" s="464"/>
      <c r="AB480" s="464"/>
      <c r="AC480" s="464"/>
      <c r="AD480" s="464"/>
      <c r="AE480" s="464"/>
      <c r="AF480" s="464"/>
      <c r="AG480" s="464"/>
      <c r="AH480" s="464"/>
      <c r="AI480" s="50"/>
      <c r="AJ480" s="50"/>
      <c r="AK480" s="50"/>
      <c r="AL480" s="50"/>
      <c r="AM480" s="81"/>
    </row>
    <row r="481" spans="21:39" ht="15" customHeight="1" x14ac:dyDescent="0.25">
      <c r="U481" s="335"/>
      <c r="V481" s="218"/>
      <c r="W481" s="531"/>
      <c r="X481" s="531"/>
      <c r="Y481" s="528"/>
      <c r="Z481" s="464"/>
      <c r="AA481" s="464"/>
      <c r="AB481" s="464"/>
      <c r="AC481" s="464"/>
      <c r="AD481" s="464"/>
      <c r="AE481" s="464"/>
      <c r="AF481" s="464"/>
      <c r="AG481" s="464"/>
      <c r="AH481" s="464"/>
      <c r="AI481" s="50"/>
      <c r="AJ481" s="50"/>
      <c r="AK481" s="50"/>
      <c r="AL481" s="50"/>
      <c r="AM481" s="81"/>
    </row>
    <row r="482" spans="21:39" ht="15" customHeight="1" x14ac:dyDescent="0.25">
      <c r="U482" s="335"/>
      <c r="V482" s="218"/>
      <c r="W482" s="531"/>
      <c r="X482" s="531"/>
      <c r="Y482" s="528"/>
      <c r="Z482" s="464"/>
      <c r="AA482" s="464"/>
      <c r="AB482" s="464"/>
      <c r="AC482" s="464"/>
      <c r="AD482" s="464"/>
      <c r="AE482" s="464"/>
      <c r="AF482" s="464"/>
      <c r="AG482" s="464"/>
      <c r="AH482" s="464"/>
      <c r="AI482" s="50"/>
      <c r="AJ482" s="50"/>
      <c r="AK482" s="50"/>
      <c r="AL482" s="50"/>
      <c r="AM482" s="81"/>
    </row>
    <row r="483" spans="21:39" ht="15" customHeight="1" x14ac:dyDescent="0.25">
      <c r="U483" s="335"/>
      <c r="V483" s="218"/>
      <c r="W483" s="531"/>
      <c r="X483" s="531"/>
      <c r="Y483" s="528"/>
      <c r="Z483" s="464"/>
      <c r="AA483" s="464"/>
      <c r="AB483" s="464"/>
      <c r="AC483" s="464"/>
      <c r="AD483" s="464"/>
      <c r="AE483" s="464"/>
      <c r="AF483" s="464"/>
      <c r="AG483" s="464"/>
      <c r="AH483" s="464"/>
      <c r="AI483" s="50"/>
      <c r="AJ483" s="50"/>
      <c r="AK483" s="50"/>
      <c r="AL483" s="50"/>
      <c r="AM483" s="81"/>
    </row>
    <row r="484" spans="21:39" ht="15" customHeight="1" x14ac:dyDescent="0.25">
      <c r="U484" s="335"/>
      <c r="V484" s="218"/>
      <c r="W484" s="529"/>
      <c r="X484" s="529"/>
      <c r="Y484" s="528"/>
      <c r="Z484" s="464"/>
      <c r="AA484" s="464"/>
      <c r="AB484" s="464"/>
      <c r="AC484" s="464"/>
      <c r="AD484" s="464"/>
      <c r="AE484" s="464"/>
      <c r="AF484" s="464"/>
      <c r="AG484" s="464"/>
      <c r="AH484" s="464"/>
      <c r="AI484" s="50"/>
      <c r="AJ484" s="50"/>
      <c r="AK484" s="50"/>
      <c r="AL484" s="50"/>
      <c r="AM484" s="81"/>
    </row>
    <row r="485" spans="21:39" ht="15" customHeight="1" x14ac:dyDescent="0.25">
      <c r="U485" s="335"/>
      <c r="V485" s="218"/>
      <c r="W485" s="531"/>
      <c r="X485" s="531"/>
      <c r="Y485" s="528"/>
      <c r="Z485" s="464"/>
      <c r="AA485" s="464"/>
      <c r="AB485" s="464"/>
      <c r="AC485" s="464"/>
      <c r="AD485" s="464"/>
      <c r="AE485" s="464"/>
      <c r="AF485" s="464"/>
      <c r="AG485" s="464"/>
      <c r="AH485" s="464"/>
      <c r="AI485" s="50"/>
      <c r="AJ485" s="50"/>
      <c r="AK485" s="50"/>
      <c r="AL485" s="50"/>
      <c r="AM485" s="81"/>
    </row>
    <row r="486" spans="21:39" ht="15" customHeight="1" x14ac:dyDescent="0.25">
      <c r="U486" s="528"/>
      <c r="V486" s="531"/>
      <c r="W486" s="531"/>
      <c r="X486" s="531"/>
      <c r="Y486" s="528"/>
      <c r="Z486" s="531"/>
      <c r="AA486" s="531"/>
      <c r="AB486" s="531"/>
      <c r="AC486" s="531"/>
      <c r="AD486" s="531"/>
      <c r="AE486" s="531"/>
      <c r="AF486" s="531"/>
      <c r="AG486" s="531"/>
      <c r="AH486" s="531"/>
      <c r="AI486" s="50"/>
      <c r="AJ486" s="50"/>
      <c r="AK486" s="50"/>
      <c r="AL486" s="50"/>
      <c r="AM486" s="81"/>
    </row>
    <row r="487" spans="21:39" ht="15" customHeight="1" x14ac:dyDescent="0.25">
      <c r="U487" s="335"/>
      <c r="V487" s="218"/>
      <c r="W487" s="531"/>
      <c r="X487" s="531"/>
      <c r="Y487" s="528"/>
      <c r="Z487" s="464"/>
      <c r="AA487" s="464"/>
      <c r="AB487" s="464"/>
      <c r="AC487" s="464"/>
      <c r="AD487" s="464"/>
      <c r="AE487" s="464"/>
      <c r="AF487" s="464"/>
      <c r="AG487" s="464"/>
      <c r="AH487" s="464"/>
      <c r="AI487" s="50"/>
      <c r="AJ487" s="50"/>
      <c r="AK487" s="50"/>
      <c r="AL487" s="50"/>
      <c r="AM487" s="81"/>
    </row>
    <row r="488" spans="21:39" ht="15" customHeight="1" x14ac:dyDescent="0.25">
      <c r="U488" s="335"/>
      <c r="V488" s="218"/>
      <c r="W488" s="531"/>
      <c r="X488" s="531"/>
      <c r="Y488" s="528"/>
      <c r="Z488" s="464"/>
      <c r="AA488" s="464"/>
      <c r="AB488" s="464"/>
      <c r="AC488" s="464"/>
      <c r="AD488" s="464"/>
      <c r="AE488" s="464"/>
      <c r="AF488" s="464"/>
      <c r="AG488" s="464"/>
      <c r="AH488" s="464"/>
      <c r="AI488" s="50"/>
      <c r="AJ488" s="50"/>
      <c r="AK488" s="50"/>
      <c r="AL488" s="50"/>
      <c r="AM488" s="81"/>
    </row>
    <row r="489" spans="21:39" ht="15" customHeight="1" x14ac:dyDescent="0.25">
      <c r="U489" s="335"/>
      <c r="V489" s="218"/>
      <c r="W489" s="531"/>
      <c r="X489" s="531"/>
      <c r="Y489" s="528"/>
      <c r="Z489" s="464"/>
      <c r="AA489" s="464"/>
      <c r="AB489" s="464"/>
      <c r="AC489" s="464"/>
      <c r="AD489" s="464"/>
      <c r="AE489" s="464"/>
      <c r="AF489" s="464"/>
      <c r="AG489" s="464"/>
      <c r="AH489" s="464"/>
      <c r="AI489" s="50"/>
      <c r="AJ489" s="50"/>
      <c r="AK489" s="50"/>
      <c r="AL489" s="50"/>
      <c r="AM489" s="81"/>
    </row>
    <row r="490" spans="21:39" ht="15" customHeight="1" x14ac:dyDescent="0.25">
      <c r="U490" s="335"/>
      <c r="V490" s="218"/>
      <c r="W490" s="531"/>
      <c r="X490" s="531"/>
      <c r="Y490" s="528"/>
      <c r="Z490" s="464"/>
      <c r="AA490" s="464"/>
      <c r="AB490" s="464"/>
      <c r="AC490" s="464"/>
      <c r="AD490" s="464"/>
      <c r="AE490" s="464"/>
      <c r="AF490" s="464"/>
      <c r="AG490" s="464"/>
      <c r="AH490" s="464"/>
      <c r="AI490" s="50"/>
      <c r="AJ490" s="50"/>
      <c r="AK490" s="50"/>
      <c r="AL490" s="50"/>
      <c r="AM490" s="81"/>
    </row>
    <row r="491" spans="21:39" ht="15" customHeight="1" x14ac:dyDescent="0.25">
      <c r="U491" s="335"/>
      <c r="V491" s="218"/>
      <c r="W491" s="529"/>
      <c r="X491" s="529"/>
      <c r="Y491" s="528"/>
      <c r="Z491" s="464"/>
      <c r="AA491" s="464"/>
      <c r="AB491" s="464"/>
      <c r="AC491" s="464"/>
      <c r="AD491" s="464"/>
      <c r="AE491" s="464"/>
      <c r="AF491" s="464"/>
      <c r="AG491" s="464"/>
      <c r="AH491" s="464"/>
      <c r="AI491" s="50"/>
      <c r="AJ491" s="50"/>
      <c r="AK491" s="50"/>
      <c r="AL491" s="443"/>
      <c r="AM491" s="81"/>
    </row>
    <row r="492" spans="21:39" ht="15" customHeight="1" x14ac:dyDescent="0.25">
      <c r="U492" s="335"/>
      <c r="V492" s="218"/>
      <c r="W492" s="531"/>
      <c r="X492" s="531"/>
      <c r="Y492" s="528"/>
      <c r="Z492" s="464"/>
      <c r="AA492" s="464"/>
      <c r="AB492" s="464"/>
      <c r="AC492" s="464"/>
      <c r="AD492" s="464"/>
      <c r="AE492" s="464"/>
      <c r="AF492" s="464"/>
      <c r="AG492" s="464"/>
      <c r="AH492" s="464"/>
      <c r="AI492" s="50"/>
      <c r="AJ492" s="50"/>
      <c r="AK492" s="50"/>
      <c r="AL492" s="50"/>
      <c r="AM492" s="81"/>
    </row>
    <row r="493" spans="21:39" ht="15" customHeight="1" x14ac:dyDescent="0.25">
      <c r="U493" s="528"/>
      <c r="V493" s="531"/>
      <c r="W493" s="531"/>
      <c r="X493" s="531"/>
      <c r="Y493" s="528"/>
      <c r="Z493" s="531"/>
      <c r="AA493" s="531"/>
      <c r="AB493" s="531"/>
      <c r="AC493" s="531"/>
      <c r="AD493" s="531"/>
      <c r="AE493" s="531"/>
      <c r="AF493" s="531"/>
      <c r="AG493" s="531"/>
      <c r="AH493" s="531"/>
      <c r="AI493" s="50"/>
      <c r="AJ493" s="50"/>
      <c r="AK493" s="50"/>
      <c r="AL493" s="50"/>
      <c r="AM493" s="81"/>
    </row>
    <row r="494" spans="21:39" ht="15" customHeight="1" x14ac:dyDescent="0.25">
      <c r="U494" s="335"/>
      <c r="V494" s="218"/>
      <c r="W494" s="529"/>
      <c r="X494" s="529"/>
      <c r="Y494" s="528"/>
      <c r="Z494" s="464"/>
      <c r="AA494" s="464"/>
      <c r="AB494" s="464"/>
      <c r="AC494" s="464"/>
      <c r="AD494" s="464"/>
      <c r="AE494" s="464"/>
      <c r="AF494" s="464"/>
      <c r="AG494" s="464"/>
      <c r="AH494" s="464"/>
      <c r="AI494" s="50"/>
      <c r="AJ494" s="50"/>
      <c r="AK494" s="50"/>
      <c r="AL494" s="50"/>
      <c r="AM494" s="81"/>
    </row>
    <row r="495" spans="21:39" ht="15" customHeight="1" x14ac:dyDescent="0.25">
      <c r="U495" s="335"/>
      <c r="V495" s="218"/>
      <c r="W495" s="531"/>
      <c r="X495" s="531"/>
      <c r="Y495" s="528"/>
      <c r="Z495" s="464"/>
      <c r="AA495" s="464"/>
      <c r="AB495" s="464"/>
      <c r="AC495" s="464"/>
      <c r="AD495" s="464"/>
      <c r="AE495" s="464"/>
      <c r="AF495" s="464"/>
      <c r="AG495" s="464"/>
      <c r="AH495" s="464"/>
      <c r="AI495" s="50"/>
      <c r="AJ495" s="50"/>
      <c r="AK495" s="50"/>
      <c r="AL495" s="50"/>
      <c r="AM495" s="81"/>
    </row>
    <row r="496" spans="21:39" ht="15" customHeight="1" x14ac:dyDescent="0.25">
      <c r="U496" s="528"/>
      <c r="V496" s="531"/>
      <c r="W496" s="531"/>
      <c r="X496" s="531"/>
      <c r="Y496" s="528"/>
      <c r="Z496" s="531"/>
      <c r="AA496" s="531"/>
      <c r="AB496" s="531"/>
      <c r="AC496" s="531"/>
      <c r="AD496" s="531"/>
      <c r="AE496" s="531"/>
      <c r="AF496" s="531"/>
      <c r="AG496" s="531"/>
      <c r="AH496" s="531"/>
      <c r="AI496" s="50"/>
      <c r="AJ496" s="50"/>
      <c r="AK496" s="50"/>
      <c r="AL496" s="50"/>
      <c r="AM496" s="81"/>
    </row>
    <row r="497" spans="21:39" ht="15" customHeight="1" x14ac:dyDescent="0.25">
      <c r="U497" s="335"/>
      <c r="V497" s="218"/>
      <c r="W497" s="531"/>
      <c r="X497" s="531"/>
      <c r="Y497" s="528"/>
      <c r="Z497" s="528"/>
      <c r="AA497" s="528"/>
      <c r="AB497" s="528"/>
      <c r="AC497" s="528"/>
      <c r="AD497" s="528"/>
      <c r="AE497" s="528"/>
      <c r="AF497" s="528"/>
      <c r="AG497" s="528"/>
      <c r="AH497" s="528"/>
      <c r="AI497" s="528"/>
      <c r="AJ497" s="528"/>
      <c r="AK497" s="528"/>
      <c r="AL497" s="528"/>
      <c r="AM497" s="81"/>
    </row>
    <row r="498" spans="21:39" ht="15" customHeight="1" x14ac:dyDescent="0.25">
      <c r="U498" s="335"/>
      <c r="V498" s="218"/>
      <c r="W498" s="531"/>
      <c r="X498" s="531"/>
      <c r="Y498" s="528"/>
      <c r="Z498" s="528"/>
      <c r="AA498" s="528"/>
      <c r="AB498" s="528"/>
      <c r="AC498" s="528"/>
      <c r="AD498" s="528"/>
      <c r="AE498" s="528"/>
      <c r="AF498" s="528"/>
      <c r="AG498" s="528"/>
      <c r="AH498" s="528"/>
      <c r="AI498" s="528"/>
      <c r="AJ498" s="528"/>
      <c r="AK498" s="528"/>
      <c r="AL498" s="528"/>
      <c r="AM498" s="81"/>
    </row>
    <row r="499" spans="21:39" ht="15" customHeight="1" x14ac:dyDescent="0.25">
      <c r="U499" s="473"/>
      <c r="V499" s="473"/>
      <c r="W499" s="473"/>
      <c r="X499" s="81"/>
      <c r="Y499" s="81"/>
      <c r="Z499" s="81"/>
      <c r="AA499" s="8"/>
      <c r="AB499" s="81"/>
      <c r="AC499" s="81"/>
      <c r="AD499" s="81"/>
      <c r="AE499" s="473"/>
      <c r="AF499" s="81"/>
      <c r="AG499" s="81"/>
      <c r="AH499" s="81"/>
      <c r="AI499" s="473"/>
      <c r="AJ499" s="473"/>
      <c r="AK499" s="473"/>
      <c r="AL499" s="81"/>
      <c r="AM499" s="81"/>
    </row>
  </sheetData>
  <sheetProtection password="D0D3" sheet="1" objects="1" scenarios="1"/>
  <mergeCells count="216">
    <mergeCell ref="LI34:LU34"/>
    <mergeCell ref="U35:W35"/>
    <mergeCell ref="KE28:KG28"/>
    <mergeCell ref="LB32:LN32"/>
    <mergeCell ref="CF33:CF34"/>
    <mergeCell ref="AB35:AD35"/>
    <mergeCell ref="AI35:AK35"/>
    <mergeCell ref="AB34:AD34"/>
    <mergeCell ref="AI34:AK34"/>
    <mergeCell ref="AB43:AD43"/>
    <mergeCell ref="AI41:AK41"/>
    <mergeCell ref="AI42:AK42"/>
    <mergeCell ref="AI43:AK43"/>
    <mergeCell ref="AI44:AK44"/>
    <mergeCell ref="AI45:AK45"/>
    <mergeCell ref="U42:W42"/>
    <mergeCell ref="AI83:AJ83"/>
    <mergeCell ref="U34:W34"/>
    <mergeCell ref="AB47:AD47"/>
    <mergeCell ref="AI47:AK47"/>
    <mergeCell ref="AB39:AD39"/>
    <mergeCell ref="AB40:AD40"/>
    <mergeCell ref="AB46:AD46"/>
    <mergeCell ref="AI36:AK36"/>
    <mergeCell ref="AI37:AK37"/>
    <mergeCell ref="AI38:AK38"/>
    <mergeCell ref="AI39:AK39"/>
    <mergeCell ref="AI40:AK40"/>
    <mergeCell ref="AB36:AD36"/>
    <mergeCell ref="AB37:AD37"/>
    <mergeCell ref="AB38:AD38"/>
    <mergeCell ref="U163:W163"/>
    <mergeCell ref="U164:W164"/>
    <mergeCell ref="U165:W165"/>
    <mergeCell ref="U166:W166"/>
    <mergeCell ref="U167:W167"/>
    <mergeCell ref="U168:W168"/>
    <mergeCell ref="U48:X48"/>
    <mergeCell ref="U47:W47"/>
    <mergeCell ref="U40:W40"/>
    <mergeCell ref="U178:W178"/>
    <mergeCell ref="U179:W179"/>
    <mergeCell ref="U180:W180"/>
    <mergeCell ref="U181:W181"/>
    <mergeCell ref="AB48:AE48"/>
    <mergeCell ref="AI48:AL48"/>
    <mergeCell ref="AA55:AB55"/>
    <mergeCell ref="AA56:AB56"/>
    <mergeCell ref="AA57:AB57"/>
    <mergeCell ref="AA58:AB58"/>
    <mergeCell ref="AA59:AB59"/>
    <mergeCell ref="AA60:AB60"/>
    <mergeCell ref="AG55:AH55"/>
    <mergeCell ref="AG56:AH56"/>
    <mergeCell ref="AI57:AJ57"/>
    <mergeCell ref="AI58:AJ58"/>
    <mergeCell ref="AI59:AJ59"/>
    <mergeCell ref="AI60:AJ60"/>
    <mergeCell ref="AG62:AH62"/>
    <mergeCell ref="AG69:AH69"/>
    <mergeCell ref="AG70:AH70"/>
    <mergeCell ref="AG71:AH71"/>
    <mergeCell ref="AG58:AH58"/>
    <mergeCell ref="U169:W169"/>
    <mergeCell ref="U206:W206"/>
    <mergeCell ref="U194:W194"/>
    <mergeCell ref="U201:W201"/>
    <mergeCell ref="U202:W202"/>
    <mergeCell ref="U203:W203"/>
    <mergeCell ref="U204:W204"/>
    <mergeCell ref="U205:W205"/>
    <mergeCell ref="U182:W182"/>
    <mergeCell ref="U189:W189"/>
    <mergeCell ref="U190:W190"/>
    <mergeCell ref="U191:W191"/>
    <mergeCell ref="U192:W192"/>
    <mergeCell ref="U193:W193"/>
    <mergeCell ref="U176:W176"/>
    <mergeCell ref="AG92:AH92"/>
    <mergeCell ref="AG57:AH57"/>
    <mergeCell ref="AA62:AB62"/>
    <mergeCell ref="AA63:AB63"/>
    <mergeCell ref="AA64:AB64"/>
    <mergeCell ref="AA70:AB70"/>
    <mergeCell ref="AA71:AB71"/>
    <mergeCell ref="AA65:AB65"/>
    <mergeCell ref="AA66:AB66"/>
    <mergeCell ref="AA67:AB67"/>
    <mergeCell ref="AG60:AH60"/>
    <mergeCell ref="AA68:AB68"/>
    <mergeCell ref="AG84:AH84"/>
    <mergeCell ref="AG85:AH85"/>
    <mergeCell ref="AG86:AH86"/>
    <mergeCell ref="AG87:AH87"/>
    <mergeCell ref="AG88:AH88"/>
    <mergeCell ref="AG78:AH78"/>
    <mergeCell ref="AG79:AH79"/>
    <mergeCell ref="AG80:AH80"/>
    <mergeCell ref="AG81:AH81"/>
    <mergeCell ref="U177:W177"/>
    <mergeCell ref="AA96:AB96"/>
    <mergeCell ref="AA75:AB75"/>
    <mergeCell ref="AA97:AB97"/>
    <mergeCell ref="AA81:AB81"/>
    <mergeCell ref="AA82:AB82"/>
    <mergeCell ref="AA84:AB84"/>
    <mergeCell ref="AA85:AB85"/>
    <mergeCell ref="AA78:AB78"/>
    <mergeCell ref="AA79:AB79"/>
    <mergeCell ref="AA86:AB86"/>
    <mergeCell ref="AA87:AB87"/>
    <mergeCell ref="AA88:AB88"/>
    <mergeCell ref="AA89:AB89"/>
    <mergeCell ref="AA90:AB90"/>
    <mergeCell ref="AA80:AB80"/>
    <mergeCell ref="AA76:AB76"/>
    <mergeCell ref="AA91:AB91"/>
    <mergeCell ref="AA93:AB93"/>
    <mergeCell ref="AA94:AB94"/>
    <mergeCell ref="AA83:AB83"/>
    <mergeCell ref="AI97:AJ97"/>
    <mergeCell ref="AG74:AH74"/>
    <mergeCell ref="AG75:AH75"/>
    <mergeCell ref="AG76:AH76"/>
    <mergeCell ref="AG77:AH77"/>
    <mergeCell ref="AG68:AH68"/>
    <mergeCell ref="AI77:AJ77"/>
    <mergeCell ref="AI78:AJ78"/>
    <mergeCell ref="AI79:AJ79"/>
    <mergeCell ref="AI70:AJ70"/>
    <mergeCell ref="AG97:AH97"/>
    <mergeCell ref="AG73:AH73"/>
    <mergeCell ref="AI71:AJ71"/>
    <mergeCell ref="AI72:AJ72"/>
    <mergeCell ref="AI73:AJ73"/>
    <mergeCell ref="AI74:AJ74"/>
    <mergeCell ref="AI76:AJ76"/>
    <mergeCell ref="AG89:AH89"/>
    <mergeCell ref="AG90:AH90"/>
    <mergeCell ref="AG91:AH91"/>
    <mergeCell ref="AG93:AH93"/>
    <mergeCell ref="AG94:AH94"/>
    <mergeCell ref="AG82:AH82"/>
    <mergeCell ref="AG83:AH83"/>
    <mergeCell ref="AL66:AN66"/>
    <mergeCell ref="AL73:AM73"/>
    <mergeCell ref="AG72:AH72"/>
    <mergeCell ref="AI64:AJ64"/>
    <mergeCell ref="G380:G382"/>
    <mergeCell ref="AI91:AJ91"/>
    <mergeCell ref="AI93:AJ93"/>
    <mergeCell ref="AI94:AJ94"/>
    <mergeCell ref="AI96:AJ96"/>
    <mergeCell ref="AI86:AJ86"/>
    <mergeCell ref="AI87:AJ87"/>
    <mergeCell ref="AI88:AJ88"/>
    <mergeCell ref="AI89:AJ89"/>
    <mergeCell ref="AI90:AJ90"/>
    <mergeCell ref="AA92:AB92"/>
    <mergeCell ref="U98:X98"/>
    <mergeCell ref="U207:W207"/>
    <mergeCell ref="AI81:AJ81"/>
    <mergeCell ref="AI82:AJ82"/>
    <mergeCell ref="AI84:AJ84"/>
    <mergeCell ref="AI85:AJ85"/>
    <mergeCell ref="AG96:AH96"/>
    <mergeCell ref="AL67:AN67"/>
    <mergeCell ref="AI92:AJ92"/>
    <mergeCell ref="U39:W39"/>
    <mergeCell ref="U41:W41"/>
    <mergeCell ref="AG63:AH63"/>
    <mergeCell ref="AI80:AJ80"/>
    <mergeCell ref="AI75:AJ75"/>
    <mergeCell ref="AI62:AJ62"/>
    <mergeCell ref="AI63:AJ63"/>
    <mergeCell ref="AA77:AB77"/>
    <mergeCell ref="AI65:AJ65"/>
    <mergeCell ref="AI66:AJ66"/>
    <mergeCell ref="AI67:AJ67"/>
    <mergeCell ref="AI68:AJ68"/>
    <mergeCell ref="AI69:AJ69"/>
    <mergeCell ref="AA69:AB69"/>
    <mergeCell ref="AG64:AH64"/>
    <mergeCell ref="AG65:AH65"/>
    <mergeCell ref="AG66:AH66"/>
    <mergeCell ref="AG67:AH67"/>
    <mergeCell ref="AA72:AB72"/>
    <mergeCell ref="AA73:AB73"/>
    <mergeCell ref="AA74:AB74"/>
    <mergeCell ref="AG59:AH59"/>
    <mergeCell ref="AB41:AD41"/>
    <mergeCell ref="AB42:AD42"/>
    <mergeCell ref="T33:T98"/>
    <mergeCell ref="AL86:AO97"/>
    <mergeCell ref="U15:AN18"/>
    <mergeCell ref="U50:W50"/>
    <mergeCell ref="U13:AN14"/>
    <mergeCell ref="AA53:AB53"/>
    <mergeCell ref="AC52:AF52"/>
    <mergeCell ref="AG52:AH53"/>
    <mergeCell ref="AI52:AJ53"/>
    <mergeCell ref="AK52:AK53"/>
    <mergeCell ref="AM54:AN56"/>
    <mergeCell ref="U19:AM20"/>
    <mergeCell ref="AI55:AJ55"/>
    <mergeCell ref="AI56:AJ56"/>
    <mergeCell ref="AI46:AK46"/>
    <mergeCell ref="AB44:AD44"/>
    <mergeCell ref="AB45:AD45"/>
    <mergeCell ref="U43:W43"/>
    <mergeCell ref="U44:W44"/>
    <mergeCell ref="U45:W45"/>
    <mergeCell ref="U46:W46"/>
    <mergeCell ref="U36:W36"/>
    <mergeCell ref="U37:W37"/>
    <mergeCell ref="U38:W38"/>
  </mergeCells>
  <conditionalFormatting sqref="LC35:LD36 LC38:LD41 LB35:LB41 LC42:LE42 LC45:LD50 LC43:LD43 LB43:LB51 LB52:LD53 U477:U496 V480:V485 V494:V495 V477:V478 V487:V492 AP58:AP68 U497:V498 AL56 KU53:KU58 AC55:AF97 AK55:AK97">
    <cfRule type="cellIs" dxfId="28" priority="83" operator="equal">
      <formula>0</formula>
    </cfRule>
  </conditionalFormatting>
  <conditionalFormatting sqref="KF75:KH75 IS42:JS42 IS35:JR41 IS43:JR74 JV35:KA74 KE35:KG74 B83:K83 G55:K97 B55:F98 IS76:JR119 KJ76:KL119 KE76:KG119 JV76:KA119">
    <cfRule type="cellIs" dxfId="27" priority="82" operator="greaterThan">
      <formula>0</formula>
    </cfRule>
  </conditionalFormatting>
  <conditionalFormatting sqref="GS36:GS47 DZ36:DZ47 CI36:CI47 EO2:EO14 EP3:EP14 DZ54:DZ69 EI15:EI25 EL15:EL25">
    <cfRule type="cellIs" dxfId="26" priority="81" operator="greaterThan">
      <formula>0</formula>
    </cfRule>
  </conditionalFormatting>
  <conditionalFormatting sqref="EM70:EM71 HE36:HE47 HL36:HL47 CN36:CN47 CU36:CU47 DB36:DB47 DI36:DI47 EE36:EE47 EL36:EL47 ES36:ES47 EZ36:EZ47 FG36:FG47 FN36:FN47 FU36:FU47 GB36:GB47 GX36:GX47 HS36:HS47 HZ36:HZ47 EL54:EL69 EE54:EE69">
    <cfRule type="cellIs" dxfId="25" priority="80" operator="greaterThan">
      <formula>0</formula>
    </cfRule>
  </conditionalFormatting>
  <conditionalFormatting sqref="DV54:DV69">
    <cfRule type="cellIs" dxfId="24" priority="79" operator="equal">
      <formula>0</formula>
    </cfRule>
  </conditionalFormatting>
  <conditionalFormatting sqref="AM52 AM171 AM196 AM184">
    <cfRule type="cellIs" dxfId="23" priority="78" operator="greaterThan">
      <formula>0</formula>
    </cfRule>
  </conditionalFormatting>
  <conditionalFormatting sqref="AM51 AM170 AM195 AM183">
    <cfRule type="cellIs" dxfId="22" priority="77" operator="greaterThan">
      <formula>0</formula>
    </cfRule>
  </conditionalFormatting>
  <conditionalFormatting sqref="KH76:KI119">
    <cfRule type="cellIs" dxfId="21" priority="76" operator="equal">
      <formula>"pP"</formula>
    </cfRule>
  </conditionalFormatting>
  <conditionalFormatting sqref="KM76:KM119">
    <cfRule type="cellIs" dxfId="20" priority="75" operator="equal">
      <formula>"p"</formula>
    </cfRule>
  </conditionalFormatting>
  <conditionalFormatting sqref="AL47 Y48 AF48 AM48 X47 AE47 AP69:AP76 AN57:AN61">
    <cfRule type="cellIs" dxfId="19" priority="74" operator="equal">
      <formula>0</formula>
    </cfRule>
  </conditionalFormatting>
  <conditionalFormatting sqref="Z35:Z46 AN35:AN46 AG35:AG46 BG15:BG26 BB15:BB26 BL15:BL26">
    <cfRule type="cellIs" dxfId="18" priority="73" operator="equal">
      <formula>"??"</formula>
    </cfRule>
  </conditionalFormatting>
  <conditionalFormatting sqref="AX115:AX126 BB115:BB126 AZ115:AZ126 AX127:AY127 IQ35:IQ74 EB2:EB25 EJ2:EJ25 O55:O97">
    <cfRule type="cellIs" dxfId="17" priority="72" operator="equal">
      <formula>1</formula>
    </cfRule>
  </conditionalFormatting>
  <conditionalFormatting sqref="AX63:BI74 AX35:BI46 AX49:BI60">
    <cfRule type="cellIs" dxfId="16" priority="71" operator="equal">
      <formula>1</formula>
    </cfRule>
  </conditionalFormatting>
  <conditionalFormatting sqref="X47 AE47 AL47">
    <cfRule type="cellIs" dxfId="15" priority="70" operator="greaterThan">
      <formula>120</formula>
    </cfRule>
  </conditionalFormatting>
  <conditionalFormatting sqref="BJ35:BK74">
    <cfRule type="cellIs" dxfId="14" priority="69" operator="equal">
      <formula>1</formula>
    </cfRule>
  </conditionalFormatting>
  <conditionalFormatting sqref="U35:W46 AC35:AD45 AJ35:AK45 AI35:AI46 AB35:AB46 AY15:AY26 BI15:BI26 BD15:BD26">
    <cfRule type="cellIs" dxfId="13" priority="68" operator="equal">
      <formula>"CHECK CREDIT"</formula>
    </cfRule>
  </conditionalFormatting>
  <conditionalFormatting sqref="CW93:CW96 CW56:CW91 BQ56:BQ96">
    <cfRule type="cellIs" dxfId="12" priority="37" operator="greaterThan">
      <formula>70</formula>
    </cfRule>
  </conditionalFormatting>
  <conditionalFormatting sqref="AI55:AI97">
    <cfRule type="cellIs" dxfId="11" priority="28" operator="greaterThan">
      <formula>69.999</formula>
    </cfRule>
  </conditionalFormatting>
  <conditionalFormatting sqref="KI76:KI116">
    <cfRule type="cellIs" dxfId="10" priority="27" operator="greaterThan">
      <formula>68.49</formula>
    </cfRule>
  </conditionalFormatting>
  <conditionalFormatting sqref="IN129:IO131 IN76:IN117 IO120:IO128 IN119:IN128">
    <cfRule type="cellIs" dxfId="9" priority="26" operator="equal">
      <formula>"P"</formula>
    </cfRule>
  </conditionalFormatting>
  <conditionalFormatting sqref="AM57:AN61">
    <cfRule type="cellIs" dxfId="8" priority="19" operator="equal">
      <formula>" "</formula>
    </cfRule>
  </conditionalFormatting>
  <conditionalFormatting sqref="AM54:AN56 U50:X50">
    <cfRule type="cellIs" dxfId="7" priority="9" operator="equal">
      <formula>" "</formula>
    </cfRule>
  </conditionalFormatting>
  <hyperlinks>
    <hyperlink ref="CC68" r:id="rId1" xr:uid="{00000000-0004-0000-0300-000000000000}"/>
  </hyperlinks>
  <printOptions horizontalCentered="1" verticalCentered="1"/>
  <pageMargins left="0.39370078740157483" right="0.39370078740157483" top="0.39370078740157483" bottom="0.39370078740157483" header="0.23622047244094491" footer="0.15748031496062992"/>
  <pageSetup paperSize="9" scale="70" orientation="portrait" verticalDpi="0" r:id="rId2"/>
  <colBreaks count="1" manualBreakCount="1">
    <brk id="47" min="32" max="96" man="1"/>
  </colBreaks>
  <ignoredErrors>
    <ignoredError sqref="CM48 GW48 O98" formula="1"/>
  </ignoredErrors>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BN392"/>
  <sheetViews>
    <sheetView zoomScale="80" zoomScaleNormal="80" workbookViewId="0">
      <selection activeCell="C2" sqref="C2:J3"/>
    </sheetView>
  </sheetViews>
  <sheetFormatPr defaultColWidth="8.85546875" defaultRowHeight="16.149999999999999" customHeight="1" x14ac:dyDescent="0.25"/>
  <cols>
    <col min="1" max="1" width="8.42578125" style="2" customWidth="1"/>
    <col min="2" max="2" width="6.7109375" style="2" customWidth="1"/>
    <col min="3" max="3" width="6.7109375" style="60" customWidth="1"/>
    <col min="4" max="5" width="4.7109375" style="60" customWidth="1"/>
    <col min="6" max="6" width="24.5703125" style="65" customWidth="1"/>
    <col min="7" max="7" width="31.5703125" style="65" customWidth="1"/>
    <col min="8" max="8" width="12.140625" style="65" customWidth="1"/>
    <col min="9" max="9" width="16.5703125" style="111" customWidth="1"/>
    <col min="10" max="10" width="15.42578125" style="111" customWidth="1"/>
    <col min="11" max="11" width="8.7109375" style="121" customWidth="1"/>
    <col min="12" max="12" width="8.85546875" style="121" customWidth="1"/>
    <col min="13" max="13" width="6.28515625" style="124" hidden="1" customWidth="1"/>
    <col min="14" max="14" width="5.42578125" style="121" customWidth="1"/>
    <col min="15" max="15" width="6.42578125" style="123" customWidth="1"/>
    <col min="16" max="16" width="7.28515625" style="123" customWidth="1"/>
    <col min="17" max="17" width="8.85546875" style="65"/>
    <col min="18" max="18" width="11.28515625" style="2" customWidth="1"/>
    <col min="19" max="21" width="4.7109375" style="2" customWidth="1"/>
    <col min="22" max="22" width="15.28515625" style="60" customWidth="1"/>
    <col min="23" max="23" width="10.85546875" style="240" customWidth="1"/>
    <col min="24" max="24" width="10.85546875" style="60" hidden="1" customWidth="1"/>
    <col min="25" max="27" width="10.85546875" style="2" hidden="1" customWidth="1"/>
    <col min="28" max="28" width="0" hidden="1" customWidth="1"/>
    <col min="29" max="29" width="11.5703125" style="107" hidden="1" customWidth="1"/>
    <col min="30" max="30" width="9" style="2" hidden="1" customWidth="1"/>
    <col min="31" max="38" width="6.28515625" style="2" hidden="1" customWidth="1"/>
    <col min="39" max="39" width="8.7109375" style="72" customWidth="1"/>
    <col min="40" max="40" width="9.42578125" style="1206" customWidth="1"/>
    <col min="41" max="41" width="6.7109375" style="72" customWidth="1"/>
    <col min="42" max="42" width="17.7109375" style="118" customWidth="1"/>
    <col min="43" max="48" width="6.7109375" style="72" customWidth="1"/>
    <col min="49" max="49" width="3.7109375" style="72" customWidth="1"/>
    <col min="50" max="55" width="6.7109375" style="72" customWidth="1"/>
    <col min="56" max="56" width="3.7109375" style="72" customWidth="1"/>
    <col min="57" max="58" width="6.7109375" style="72" customWidth="1"/>
    <col min="59" max="66" width="8.85546875" style="72"/>
    <col min="67" max="16384" width="8.85546875" style="2"/>
  </cols>
  <sheetData>
    <row r="1" spans="1:60" s="72" customFormat="1" ht="16.149999999999999" customHeight="1" x14ac:dyDescent="0.25">
      <c r="A1" s="1551"/>
      <c r="B1" s="1551"/>
      <c r="C1" s="1551"/>
      <c r="D1" s="1551"/>
      <c r="E1" s="1551"/>
      <c r="F1" s="1551"/>
      <c r="G1" s="1551"/>
      <c r="H1" s="1551"/>
      <c r="I1" s="1551"/>
      <c r="J1" s="1551"/>
      <c r="K1" s="1551"/>
      <c r="L1" s="1551"/>
      <c r="M1" s="1551"/>
      <c r="N1" s="1551"/>
      <c r="O1" s="1551"/>
      <c r="P1" s="1551"/>
      <c r="Q1" s="1551"/>
      <c r="R1" s="1551"/>
      <c r="S1" s="1551"/>
      <c r="T1" s="1551"/>
      <c r="U1" s="1551"/>
      <c r="V1" s="1551"/>
      <c r="W1" s="1551"/>
      <c r="X1" s="1551"/>
      <c r="Y1" s="1551"/>
      <c r="Z1" s="1551"/>
      <c r="AA1" s="1551"/>
      <c r="AB1" s="1551"/>
      <c r="AC1" s="1551"/>
      <c r="AD1" s="1551"/>
      <c r="AE1" s="1551"/>
      <c r="AF1" s="1551"/>
      <c r="AG1" s="1551"/>
      <c r="AH1" s="1551"/>
      <c r="AI1" s="1551"/>
      <c r="AJ1" s="1551"/>
      <c r="AK1" s="1551"/>
      <c r="AL1" s="1551"/>
      <c r="AM1" s="1551"/>
      <c r="AN1" s="1552"/>
      <c r="AO1" s="43"/>
      <c r="AP1" s="79"/>
      <c r="AQ1" s="43"/>
      <c r="AR1" s="43"/>
      <c r="AS1" s="43"/>
      <c r="AT1" s="43"/>
      <c r="AU1" s="43"/>
    </row>
    <row r="2" spans="1:60" ht="16.149999999999999" customHeight="1" x14ac:dyDescent="0.25">
      <c r="A2" s="1494" t="s">
        <v>960</v>
      </c>
      <c r="B2" s="1495"/>
      <c r="C2" s="1531"/>
      <c r="D2" s="1574"/>
      <c r="E2" s="1574"/>
      <c r="F2" s="1574"/>
      <c r="G2" s="1574"/>
      <c r="H2" s="1574"/>
      <c r="I2" s="1574"/>
      <c r="J2" s="1575"/>
      <c r="K2" s="1560" t="s">
        <v>746</v>
      </c>
      <c r="L2" s="1563" t="s">
        <v>1</v>
      </c>
      <c r="M2" s="1564" t="s">
        <v>2</v>
      </c>
      <c r="N2" s="1566" t="s">
        <v>3</v>
      </c>
      <c r="O2" s="1567"/>
      <c r="P2" s="1568"/>
      <c r="Q2" s="1572" t="s">
        <v>4</v>
      </c>
      <c r="R2" s="1573" t="s">
        <v>747</v>
      </c>
      <c r="S2" s="1555" t="s">
        <v>6</v>
      </c>
      <c r="T2" s="1555"/>
      <c r="U2" s="1555"/>
      <c r="V2" s="1294" t="s">
        <v>7</v>
      </c>
      <c r="W2" s="1295">
        <v>43492</v>
      </c>
      <c r="X2" s="1295"/>
      <c r="Y2" s="1195"/>
      <c r="Z2" s="1296"/>
      <c r="AA2" s="1194"/>
      <c r="AB2" s="210"/>
      <c r="AC2" s="1297"/>
      <c r="AD2" s="1298"/>
      <c r="AE2" s="86" t="s">
        <v>8</v>
      </c>
      <c r="AF2" s="87"/>
      <c r="AG2" s="87"/>
      <c r="AH2" s="87"/>
      <c r="AI2" s="87"/>
      <c r="AJ2" s="87"/>
      <c r="AK2" s="87"/>
      <c r="AL2" s="87"/>
      <c r="AM2" s="1240"/>
      <c r="AN2" s="1299" t="s">
        <v>1145</v>
      </c>
      <c r="AO2" s="8"/>
      <c r="AP2" s="38"/>
      <c r="AQ2" s="8"/>
      <c r="AR2" s="8"/>
      <c r="AS2" s="8"/>
      <c r="AT2" s="213"/>
      <c r="AU2" s="8"/>
    </row>
    <row r="3" spans="1:60" ht="16.149999999999999" customHeight="1" x14ac:dyDescent="0.25">
      <c r="A3" s="1496"/>
      <c r="B3" s="1497"/>
      <c r="C3" s="1532"/>
      <c r="D3" s="1576"/>
      <c r="E3" s="1576"/>
      <c r="F3" s="1576"/>
      <c r="G3" s="1576"/>
      <c r="H3" s="1576"/>
      <c r="I3" s="1576"/>
      <c r="J3" s="1577"/>
      <c r="K3" s="1561"/>
      <c r="L3" s="1563"/>
      <c r="M3" s="1565"/>
      <c r="N3" s="1569"/>
      <c r="O3" s="1570"/>
      <c r="P3" s="1571"/>
      <c r="Q3" s="1572"/>
      <c r="R3" s="1573"/>
      <c r="S3" s="61"/>
      <c r="T3" s="12"/>
      <c r="U3" s="13"/>
      <c r="V3" s="1558" t="s">
        <v>745</v>
      </c>
      <c r="W3" s="1556" t="s">
        <v>944</v>
      </c>
      <c r="X3" s="177"/>
      <c r="Y3" s="69"/>
      <c r="Z3" s="62"/>
      <c r="AA3" s="67"/>
      <c r="AB3" s="210"/>
      <c r="AC3" s="207"/>
      <c r="AD3" s="14"/>
      <c r="AE3" s="14"/>
      <c r="AF3" s="14"/>
      <c r="AG3" s="14"/>
      <c r="AH3" s="14"/>
      <c r="AI3" s="14"/>
      <c r="AJ3" s="15"/>
      <c r="AK3" s="14"/>
      <c r="AL3" s="1238"/>
      <c r="AM3" s="1240"/>
      <c r="AN3" s="1208" t="s">
        <v>1284</v>
      </c>
      <c r="AO3" s="8" t="s">
        <v>29</v>
      </c>
      <c r="AP3" s="38"/>
      <c r="AQ3" s="214"/>
      <c r="AR3" s="214"/>
      <c r="AS3" s="214"/>
      <c r="AT3" s="8"/>
      <c r="AU3" s="8"/>
    </row>
    <row r="4" spans="1:60" ht="44.45" customHeight="1" x14ac:dyDescent="0.25">
      <c r="A4" s="186" t="s">
        <v>1007</v>
      </c>
      <c r="B4" s="187" t="s">
        <v>742</v>
      </c>
      <c r="C4" s="1035">
        <v>170</v>
      </c>
      <c r="D4" s="1210" t="s">
        <v>9</v>
      </c>
      <c r="E4" s="1210" t="s">
        <v>10</v>
      </c>
      <c r="F4" s="1211" t="s">
        <v>722</v>
      </c>
      <c r="G4" s="1211" t="s">
        <v>721</v>
      </c>
      <c r="H4" s="1277" t="s">
        <v>1293</v>
      </c>
      <c r="I4" s="1212" t="s">
        <v>719</v>
      </c>
      <c r="J4" s="1211" t="s">
        <v>720</v>
      </c>
      <c r="K4" s="1562"/>
      <c r="L4" s="1563"/>
      <c r="M4" s="1558"/>
      <c r="N4" s="16" t="s">
        <v>0</v>
      </c>
      <c r="O4" s="11" t="s">
        <v>11</v>
      </c>
      <c r="P4" s="17" t="s">
        <v>12</v>
      </c>
      <c r="Q4" s="1572"/>
      <c r="R4" s="1573"/>
      <c r="S4" s="10" t="s">
        <v>13</v>
      </c>
      <c r="T4" s="18" t="s">
        <v>14</v>
      </c>
      <c r="U4" s="19" t="s">
        <v>15</v>
      </c>
      <c r="V4" s="1559"/>
      <c r="W4" s="1557"/>
      <c r="X4" s="177"/>
      <c r="Y4" s="69" t="s">
        <v>13</v>
      </c>
      <c r="Z4" s="62" t="s">
        <v>14</v>
      </c>
      <c r="AA4" s="67" t="s">
        <v>15</v>
      </c>
      <c r="AB4" s="210"/>
      <c r="AC4" s="208" t="s">
        <v>63</v>
      </c>
      <c r="AD4" s="20" t="s">
        <v>17</v>
      </c>
      <c r="AE4" s="20" t="s">
        <v>16</v>
      </c>
      <c r="AF4" s="21" t="s">
        <v>18</v>
      </c>
      <c r="AG4" s="21" t="s">
        <v>19</v>
      </c>
      <c r="AH4" s="21" t="s">
        <v>20</v>
      </c>
      <c r="AI4" s="21" t="s">
        <v>21</v>
      </c>
      <c r="AJ4" s="21" t="s">
        <v>22</v>
      </c>
      <c r="AK4" s="21" t="s">
        <v>23</v>
      </c>
      <c r="AL4" s="1239" t="s">
        <v>24</v>
      </c>
      <c r="AM4" s="1241" t="s">
        <v>1126</v>
      </c>
      <c r="AN4" s="1213" t="s">
        <v>1292</v>
      </c>
      <c r="AO4" s="8"/>
      <c r="AP4" s="38"/>
      <c r="AQ4" s="214"/>
      <c r="AR4" s="217"/>
      <c r="AS4" s="217"/>
      <c r="AT4" s="8"/>
      <c r="AU4" s="8"/>
    </row>
    <row r="5" spans="1:60" ht="16.149999999999999" customHeight="1" x14ac:dyDescent="0.25">
      <c r="A5" s="60">
        <v>1</v>
      </c>
      <c r="B5" s="60"/>
      <c r="C5" s="184" t="s">
        <v>27</v>
      </c>
      <c r="D5" s="82"/>
      <c r="E5" s="82"/>
      <c r="F5" s="101"/>
      <c r="G5" s="101"/>
      <c r="H5" s="101"/>
      <c r="I5" s="131"/>
      <c r="J5" s="112"/>
      <c r="K5" s="119"/>
      <c r="L5" s="119"/>
      <c r="M5" s="120"/>
      <c r="N5" s="119"/>
      <c r="O5" s="119"/>
      <c r="P5" s="119"/>
      <c r="Q5" s="83"/>
      <c r="R5" s="83"/>
      <c r="S5" s="84"/>
      <c r="T5" s="84"/>
      <c r="U5" s="84"/>
      <c r="V5" s="83"/>
      <c r="W5" s="236"/>
      <c r="X5" s="83"/>
      <c r="Y5" s="83"/>
      <c r="Z5" s="83"/>
      <c r="AA5" s="83"/>
      <c r="AB5" s="1215"/>
      <c r="AC5" s="83"/>
      <c r="AD5" s="83"/>
      <c r="AE5" s="83"/>
      <c r="AF5" s="83"/>
      <c r="AG5" s="83"/>
      <c r="AH5" s="83"/>
      <c r="AI5" s="83"/>
      <c r="AJ5" s="83"/>
      <c r="AK5" s="83"/>
      <c r="AL5" s="85"/>
      <c r="AM5" s="1216"/>
      <c r="AN5" s="1217"/>
      <c r="AO5" s="8"/>
      <c r="AP5" s="38"/>
      <c r="AQ5" s="8"/>
      <c r="AR5" s="8"/>
      <c r="AS5" s="8"/>
      <c r="AT5" s="8"/>
      <c r="AU5" s="8"/>
      <c r="AX5" s="22"/>
      <c r="AY5" s="22"/>
      <c r="AZ5" s="22"/>
      <c r="BA5" s="22"/>
      <c r="BB5" s="22"/>
      <c r="BC5" s="22"/>
      <c r="BH5" s="224"/>
    </row>
    <row r="6" spans="1:60" ht="16.149999999999999" customHeight="1" x14ac:dyDescent="0.25">
      <c r="A6" s="60">
        <v>2</v>
      </c>
      <c r="B6" s="81">
        <v>82</v>
      </c>
      <c r="C6" s="1214">
        <v>1</v>
      </c>
      <c r="D6" s="77"/>
      <c r="E6" s="76" t="s">
        <v>29</v>
      </c>
      <c r="F6" s="139" t="s">
        <v>28</v>
      </c>
      <c r="G6" s="55" t="s">
        <v>28</v>
      </c>
      <c r="H6" s="1185" t="str">
        <f>'DEGREE MARK SIMULATOR'!AI55</f>
        <v xml:space="preserve"> </v>
      </c>
      <c r="I6" s="132" t="s">
        <v>30</v>
      </c>
      <c r="J6" s="793" t="s">
        <v>31</v>
      </c>
      <c r="K6" s="88" t="s">
        <v>29</v>
      </c>
      <c r="L6" s="88" t="s">
        <v>29</v>
      </c>
      <c r="M6" s="89"/>
      <c r="N6" s="88" t="s">
        <v>32</v>
      </c>
      <c r="O6" s="89"/>
      <c r="P6" s="89"/>
      <c r="Q6" s="90">
        <v>360</v>
      </c>
      <c r="R6" s="91"/>
      <c r="S6" s="91"/>
      <c r="T6" s="92"/>
      <c r="U6" s="92"/>
      <c r="V6" s="1180" t="s">
        <v>17</v>
      </c>
      <c r="W6" s="196">
        <v>1</v>
      </c>
      <c r="X6" s="195">
        <v>1</v>
      </c>
      <c r="Y6" s="93"/>
      <c r="Z6" s="94"/>
      <c r="AA6" s="193"/>
      <c r="AB6" s="210"/>
      <c r="AC6" s="134"/>
      <c r="AD6" s="88" t="s">
        <v>32</v>
      </c>
      <c r="AE6" s="88"/>
      <c r="AF6" s="88"/>
      <c r="AG6" s="88"/>
      <c r="AH6" s="88"/>
      <c r="AI6" s="88"/>
      <c r="AJ6" s="88"/>
      <c r="AK6" s="88"/>
      <c r="AL6" s="88"/>
      <c r="AM6" s="347"/>
      <c r="AN6" s="1300">
        <v>86.7</v>
      </c>
      <c r="AO6" s="8"/>
      <c r="AP6" s="38"/>
      <c r="AQ6" s="528"/>
      <c r="AR6" s="531"/>
      <c r="AS6" s="531"/>
      <c r="AT6" s="531"/>
      <c r="AU6" s="458"/>
      <c r="AV6" s="1278"/>
      <c r="AW6" s="1553"/>
      <c r="AX6" s="1553"/>
      <c r="AY6" s="1047"/>
      <c r="AZ6" s="1047"/>
      <c r="BA6" s="1047"/>
      <c r="BB6" s="1047"/>
      <c r="BC6" s="1578"/>
      <c r="BD6" s="1578"/>
      <c r="BF6" s="1279"/>
      <c r="BG6" s="8"/>
    </row>
    <row r="7" spans="1:60" ht="16.149999999999999" customHeight="1" x14ac:dyDescent="0.25">
      <c r="A7" s="533">
        <f>A6+1</f>
        <v>3</v>
      </c>
      <c r="B7" s="81">
        <v>4</v>
      </c>
      <c r="C7" s="188">
        <v>2</v>
      </c>
      <c r="D7" s="73" t="s">
        <v>29</v>
      </c>
      <c r="E7" s="75" t="s">
        <v>32</v>
      </c>
      <c r="F7" s="139" t="s">
        <v>59</v>
      </c>
      <c r="G7" s="55" t="s">
        <v>60</v>
      </c>
      <c r="H7" s="1185" t="str">
        <f>'DEGREE MARK SIMULATOR'!AI56</f>
        <v xml:space="preserve"> </v>
      </c>
      <c r="I7" s="132" t="s">
        <v>61</v>
      </c>
      <c r="J7" s="793" t="s">
        <v>62</v>
      </c>
      <c r="K7" s="135" t="s">
        <v>29</v>
      </c>
      <c r="L7" s="34" t="s">
        <v>29</v>
      </c>
      <c r="M7" s="33" t="s">
        <v>29</v>
      </c>
      <c r="N7" s="34" t="s">
        <v>32</v>
      </c>
      <c r="O7" s="33"/>
      <c r="P7" s="33"/>
      <c r="Q7" s="37">
        <v>360</v>
      </c>
      <c r="R7" s="35"/>
      <c r="S7" s="35"/>
      <c r="T7" s="35"/>
      <c r="U7" s="35"/>
      <c r="V7" s="152" t="s">
        <v>17</v>
      </c>
      <c r="W7" s="175">
        <v>1</v>
      </c>
      <c r="X7" s="195">
        <v>2</v>
      </c>
      <c r="Y7" s="203"/>
      <c r="Z7" s="176"/>
      <c r="AA7" s="206"/>
      <c r="AB7" s="210"/>
      <c r="AC7" s="135"/>
      <c r="AD7" s="34" t="s">
        <v>32</v>
      </c>
      <c r="AE7" s="34"/>
      <c r="AF7" s="34"/>
      <c r="AG7" s="34"/>
      <c r="AH7" s="34"/>
      <c r="AI7" s="34"/>
      <c r="AJ7" s="34"/>
      <c r="AK7" s="34"/>
      <c r="AL7" s="34"/>
      <c r="AM7" s="347">
        <v>2</v>
      </c>
      <c r="AN7" s="1301">
        <v>69</v>
      </c>
      <c r="AO7" s="8"/>
      <c r="AP7" s="38"/>
      <c r="AQ7" s="528"/>
      <c r="AR7" s="531"/>
      <c r="AS7" s="531"/>
      <c r="AT7" s="531"/>
      <c r="AU7" s="458"/>
      <c r="AV7" s="1278"/>
      <c r="AW7" s="1553"/>
      <c r="AX7" s="1553"/>
      <c r="AY7" s="1047"/>
      <c r="AZ7" s="1047"/>
      <c r="BA7" s="1047"/>
      <c r="BB7" s="1047"/>
      <c r="BC7" s="1578"/>
      <c r="BD7" s="1578"/>
      <c r="BF7" s="1279"/>
      <c r="BG7" s="8"/>
    </row>
    <row r="8" spans="1:60" ht="16.149999999999999" customHeight="1" x14ac:dyDescent="0.25">
      <c r="A8" s="533">
        <f t="shared" ref="A8:A70" si="0">A7+1</f>
        <v>4</v>
      </c>
      <c r="B8" s="81">
        <v>130</v>
      </c>
      <c r="C8" s="188">
        <v>3</v>
      </c>
      <c r="D8" s="73" t="s">
        <v>29</v>
      </c>
      <c r="E8" s="75" t="s">
        <v>29</v>
      </c>
      <c r="F8" s="153" t="s">
        <v>34</v>
      </c>
      <c r="G8" s="55" t="s">
        <v>35</v>
      </c>
      <c r="H8" s="1185" t="str">
        <f>'DEGREE MARK SIMULATOR'!AI57</f>
        <v xml:space="preserve"> </v>
      </c>
      <c r="I8" s="132" t="s">
        <v>36</v>
      </c>
      <c r="J8" s="793" t="s">
        <v>37</v>
      </c>
      <c r="K8" s="34" t="s">
        <v>29</v>
      </c>
      <c r="L8" s="34" t="s">
        <v>29</v>
      </c>
      <c r="M8" s="33" t="s">
        <v>29</v>
      </c>
      <c r="N8" s="34" t="s">
        <v>32</v>
      </c>
      <c r="O8" s="33"/>
      <c r="P8" s="33"/>
      <c r="Q8" s="37">
        <v>360</v>
      </c>
      <c r="R8" s="35"/>
      <c r="S8" s="35"/>
      <c r="T8" s="36"/>
      <c r="U8" s="36"/>
      <c r="V8" s="37" t="s">
        <v>38</v>
      </c>
      <c r="W8" s="311">
        <v>2</v>
      </c>
      <c r="X8" s="178">
        <v>3</v>
      </c>
      <c r="Y8" s="70">
        <v>10</v>
      </c>
      <c r="Z8" s="37">
        <v>30</v>
      </c>
      <c r="AA8" s="68">
        <v>60</v>
      </c>
      <c r="AB8" s="210"/>
      <c r="AC8" s="135"/>
      <c r="AD8" s="34"/>
      <c r="AE8" s="34"/>
      <c r="AF8" s="34"/>
      <c r="AG8" s="34"/>
      <c r="AH8" s="34"/>
      <c r="AI8" s="34"/>
      <c r="AJ8" s="34"/>
      <c r="AK8" s="34"/>
      <c r="AL8" s="34"/>
      <c r="AM8" s="347"/>
      <c r="AN8" s="1301">
        <v>84</v>
      </c>
      <c r="AO8" s="8"/>
      <c r="AP8" s="38"/>
      <c r="AQ8" s="528"/>
      <c r="AR8" s="531"/>
      <c r="AS8" s="531"/>
      <c r="AT8" s="531"/>
      <c r="AU8" s="335"/>
      <c r="AV8" s="1280"/>
      <c r="AW8" s="1553"/>
      <c r="AX8" s="1553"/>
      <c r="AY8" s="1047"/>
      <c r="AZ8" s="1047"/>
      <c r="BA8" s="1047"/>
      <c r="BB8" s="1047"/>
      <c r="BC8" s="1553"/>
      <c r="BD8" s="1553"/>
      <c r="BF8" s="1279"/>
      <c r="BG8" s="8"/>
    </row>
    <row r="9" spans="1:60" ht="16.149999999999999" customHeight="1" x14ac:dyDescent="0.25">
      <c r="A9" s="533">
        <f t="shared" si="0"/>
        <v>5</v>
      </c>
      <c r="B9" s="81">
        <v>129</v>
      </c>
      <c r="C9" s="188">
        <v>4</v>
      </c>
      <c r="D9" s="74"/>
      <c r="E9" s="133" t="s">
        <v>29</v>
      </c>
      <c r="F9" s="139" t="s">
        <v>39</v>
      </c>
      <c r="G9" s="55" t="s">
        <v>40</v>
      </c>
      <c r="H9" s="1185" t="str">
        <f>H8</f>
        <v xml:space="preserve"> </v>
      </c>
      <c r="I9" s="132" t="s">
        <v>41</v>
      </c>
      <c r="J9" s="806" t="s">
        <v>42</v>
      </c>
      <c r="K9" s="34" t="s">
        <v>29</v>
      </c>
      <c r="L9" s="34" t="s">
        <v>29</v>
      </c>
      <c r="M9" s="33"/>
      <c r="N9" s="34" t="s">
        <v>32</v>
      </c>
      <c r="O9" s="33"/>
      <c r="P9" s="33"/>
      <c r="Q9" s="37">
        <v>360</v>
      </c>
      <c r="R9" s="35"/>
      <c r="S9" s="35"/>
      <c r="T9" s="36"/>
      <c r="U9" s="36"/>
      <c r="V9" s="37" t="s">
        <v>38</v>
      </c>
      <c r="W9" s="311">
        <v>2</v>
      </c>
      <c r="X9" s="90"/>
      <c r="Y9" s="100">
        <v>10</v>
      </c>
      <c r="Z9" s="97">
        <v>30</v>
      </c>
      <c r="AA9" s="99">
        <v>60</v>
      </c>
      <c r="AB9" s="210"/>
      <c r="AC9" s="136"/>
      <c r="AD9" s="95"/>
      <c r="AE9" s="95"/>
      <c r="AF9" s="95"/>
      <c r="AG9" s="95"/>
      <c r="AH9" s="95"/>
      <c r="AI9" s="95"/>
      <c r="AJ9" s="95"/>
      <c r="AK9" s="95"/>
      <c r="AL9" s="95"/>
      <c r="AM9" s="347">
        <v>2</v>
      </c>
      <c r="AN9" s="1301">
        <v>83.2</v>
      </c>
      <c r="AO9" s="8"/>
      <c r="AP9" s="38"/>
      <c r="AQ9" s="528"/>
      <c r="AR9" s="531"/>
      <c r="AS9" s="531"/>
      <c r="AT9" s="531"/>
      <c r="AU9" s="335"/>
      <c r="AV9" s="1280"/>
      <c r="AW9" s="1121"/>
      <c r="AX9" s="1121"/>
      <c r="AY9" s="1047"/>
      <c r="AZ9" s="1047"/>
      <c r="BA9" s="1047"/>
      <c r="BB9" s="1047"/>
      <c r="BC9" s="1121"/>
      <c r="BD9" s="1121"/>
      <c r="BF9" s="1279"/>
      <c r="BG9" s="8"/>
    </row>
    <row r="10" spans="1:60" ht="16.149999999999999" customHeight="1" x14ac:dyDescent="0.25">
      <c r="A10" s="533">
        <f t="shared" si="0"/>
        <v>6</v>
      </c>
      <c r="B10" s="60"/>
      <c r="C10" s="184" t="s">
        <v>43</v>
      </c>
      <c r="D10" s="82"/>
      <c r="E10" s="82"/>
      <c r="F10" s="101"/>
      <c r="G10" s="101"/>
      <c r="H10" s="101"/>
      <c r="I10" s="131" t="s">
        <v>636</v>
      </c>
      <c r="J10" s="112"/>
      <c r="K10" s="119"/>
      <c r="L10" s="119"/>
      <c r="M10" s="120"/>
      <c r="N10" s="119"/>
      <c r="O10" s="119"/>
      <c r="P10" s="119"/>
      <c r="Q10" s="83"/>
      <c r="R10" s="83"/>
      <c r="S10" s="84"/>
      <c r="T10" s="84"/>
      <c r="U10" s="84"/>
      <c r="V10" s="83"/>
      <c r="W10" s="236"/>
      <c r="X10" s="83"/>
      <c r="Y10" s="83"/>
      <c r="Z10" s="83"/>
      <c r="AA10" s="83"/>
      <c r="AB10" s="1215"/>
      <c r="AC10" s="83"/>
      <c r="AD10" s="83"/>
      <c r="AE10" s="83"/>
      <c r="AF10" s="83"/>
      <c r="AG10" s="83"/>
      <c r="AH10" s="83"/>
      <c r="AI10" s="83"/>
      <c r="AJ10" s="83"/>
      <c r="AK10" s="83"/>
      <c r="AL10" s="85"/>
      <c r="AM10" s="1216"/>
      <c r="AN10" s="1217"/>
      <c r="AO10" s="8"/>
      <c r="AP10" s="38"/>
      <c r="AQ10" s="528"/>
      <c r="AR10" s="531"/>
      <c r="AS10" s="531"/>
      <c r="AT10" s="531"/>
      <c r="AU10" s="335"/>
      <c r="AV10" s="1280"/>
      <c r="AW10" s="1121"/>
      <c r="AX10" s="1121"/>
      <c r="AY10" s="1047"/>
      <c r="AZ10" s="1047"/>
      <c r="BA10" s="1047"/>
      <c r="BB10" s="1047"/>
      <c r="BC10" s="1121"/>
      <c r="BD10" s="1121"/>
      <c r="BF10" s="1279"/>
      <c r="BG10" s="8"/>
    </row>
    <row r="11" spans="1:60" ht="16.149999999999999" customHeight="1" x14ac:dyDescent="0.25">
      <c r="A11" s="533">
        <f t="shared" si="0"/>
        <v>7</v>
      </c>
      <c r="B11" s="81">
        <v>125</v>
      </c>
      <c r="C11" s="188">
        <f>C9+1</f>
        <v>5</v>
      </c>
      <c r="D11" s="73" t="s">
        <v>29</v>
      </c>
      <c r="E11" s="73" t="s">
        <v>29</v>
      </c>
      <c r="F11" s="157" t="s">
        <v>44</v>
      </c>
      <c r="G11" s="158" t="s">
        <v>45</v>
      </c>
      <c r="H11" s="1185" t="str">
        <f>'DEGREE MARK SIMULATOR'!AI58</f>
        <v xml:space="preserve"> </v>
      </c>
      <c r="I11" s="116" t="s">
        <v>617</v>
      </c>
      <c r="J11" s="807" t="s">
        <v>46</v>
      </c>
      <c r="K11" s="34" t="s">
        <v>29</v>
      </c>
      <c r="L11" s="34" t="s">
        <v>29</v>
      </c>
      <c r="M11" s="33" t="s">
        <v>29</v>
      </c>
      <c r="N11" s="34" t="s">
        <v>32</v>
      </c>
      <c r="O11" s="33"/>
      <c r="P11" s="33"/>
      <c r="Q11" s="37">
        <v>320</v>
      </c>
      <c r="R11" s="35">
        <v>40</v>
      </c>
      <c r="S11" s="36">
        <v>40</v>
      </c>
      <c r="T11" s="36"/>
      <c r="U11" s="36"/>
      <c r="V11" s="37" t="s">
        <v>38</v>
      </c>
      <c r="W11" s="598">
        <v>3</v>
      </c>
      <c r="X11" s="97">
        <v>4</v>
      </c>
      <c r="Y11" s="179">
        <v>10</v>
      </c>
      <c r="Z11" s="90">
        <v>30</v>
      </c>
      <c r="AA11" s="156">
        <v>60</v>
      </c>
      <c r="AB11" s="210"/>
      <c r="AC11" s="32"/>
      <c r="AD11" s="24"/>
      <c r="AE11" s="24"/>
      <c r="AF11" s="24"/>
      <c r="AG11" s="24"/>
      <c r="AH11" s="24"/>
      <c r="AI11" s="24"/>
      <c r="AJ11" s="24"/>
      <c r="AK11" s="24"/>
      <c r="AL11" s="24"/>
      <c r="AM11" s="347">
        <v>1</v>
      </c>
      <c r="AN11" s="1301">
        <v>70.900000000000006</v>
      </c>
      <c r="AO11" s="8"/>
      <c r="AP11" s="38"/>
      <c r="AQ11" s="528"/>
      <c r="AR11" s="531"/>
      <c r="AS11" s="531"/>
      <c r="AT11" s="531"/>
      <c r="AU11" s="335"/>
      <c r="AV11" s="1280"/>
      <c r="AW11" s="1553"/>
      <c r="AX11" s="1553"/>
      <c r="AY11" s="1047"/>
      <c r="AZ11" s="1047"/>
      <c r="BA11" s="1047"/>
      <c r="BB11" s="1047"/>
      <c r="BC11" s="1553"/>
      <c r="BD11" s="1553"/>
      <c r="BF11" s="1279"/>
      <c r="BG11" s="8"/>
    </row>
    <row r="12" spans="1:60" ht="16.149999999999999" customHeight="1" x14ac:dyDescent="0.25">
      <c r="A12" s="533">
        <f t="shared" si="0"/>
        <v>8</v>
      </c>
      <c r="B12" s="81">
        <v>103</v>
      </c>
      <c r="C12" s="188">
        <f>C11+1</f>
        <v>6</v>
      </c>
      <c r="D12" s="73"/>
      <c r="E12" s="73" t="s">
        <v>29</v>
      </c>
      <c r="F12" s="139" t="s">
        <v>51</v>
      </c>
      <c r="G12" s="55" t="s">
        <v>52</v>
      </c>
      <c r="H12" s="1185" t="str">
        <f>'DEGREE MARK SIMULATOR'!AI59</f>
        <v xml:space="preserve"> </v>
      </c>
      <c r="I12" s="117" t="s">
        <v>618</v>
      </c>
      <c r="J12" s="808" t="s">
        <v>53</v>
      </c>
      <c r="K12" s="34" t="s">
        <v>29</v>
      </c>
      <c r="L12" s="34" t="s">
        <v>29</v>
      </c>
      <c r="M12" s="33"/>
      <c r="N12" s="34" t="s">
        <v>32</v>
      </c>
      <c r="O12" s="33"/>
      <c r="P12" s="33"/>
      <c r="Q12" s="37">
        <v>300</v>
      </c>
      <c r="R12" s="35">
        <v>60</v>
      </c>
      <c r="S12" s="36">
        <v>60</v>
      </c>
      <c r="T12" s="36"/>
      <c r="U12" s="36"/>
      <c r="V12" s="152" t="s">
        <v>54</v>
      </c>
      <c r="W12" s="598">
        <v>4</v>
      </c>
      <c r="X12" s="195">
        <v>5</v>
      </c>
      <c r="Y12" s="197">
        <v>1</v>
      </c>
      <c r="Z12" s="175">
        <v>1</v>
      </c>
      <c r="AA12" s="200">
        <v>1</v>
      </c>
      <c r="AB12" s="210"/>
      <c r="AC12" s="32"/>
      <c r="AD12" s="24"/>
      <c r="AE12" s="24"/>
      <c r="AF12" s="24"/>
      <c r="AG12" s="24"/>
      <c r="AH12" s="24"/>
      <c r="AI12" s="24"/>
      <c r="AJ12" s="24"/>
      <c r="AK12" s="24"/>
      <c r="AL12" s="24"/>
      <c r="AM12" s="347">
        <v>1</v>
      </c>
      <c r="AN12" s="1301">
        <v>90.5</v>
      </c>
      <c r="AO12" s="8"/>
      <c r="AP12" s="38"/>
      <c r="AQ12" s="528"/>
      <c r="AR12" s="531"/>
      <c r="AS12" s="531"/>
      <c r="AT12" s="531"/>
      <c r="AU12" s="335"/>
      <c r="AV12" s="1280"/>
      <c r="AW12" s="1553"/>
      <c r="AX12" s="1553"/>
      <c r="AY12" s="1047"/>
      <c r="AZ12" s="1047"/>
      <c r="BA12" s="1047"/>
      <c r="BB12" s="1047"/>
      <c r="BC12" s="1554"/>
      <c r="BD12" s="1554"/>
      <c r="BF12" s="1279"/>
      <c r="BG12" s="8"/>
    </row>
    <row r="13" spans="1:60" ht="16.149999999999999" customHeight="1" x14ac:dyDescent="0.25">
      <c r="A13" s="533">
        <f t="shared" si="0"/>
        <v>9</v>
      </c>
      <c r="B13" s="81">
        <v>64</v>
      </c>
      <c r="C13" s="188">
        <f>C12+1</f>
        <v>7</v>
      </c>
      <c r="D13" s="73"/>
      <c r="E13" s="73" t="s">
        <v>29</v>
      </c>
      <c r="F13" s="128" t="s">
        <v>55</v>
      </c>
      <c r="G13" s="105" t="s">
        <v>56</v>
      </c>
      <c r="H13" s="1185" t="str">
        <f>'DEGREE MARK SIMULATOR'!AI60</f>
        <v xml:space="preserve"> </v>
      </c>
      <c r="I13" s="115" t="s">
        <v>619</v>
      </c>
      <c r="J13" s="809" t="s">
        <v>57</v>
      </c>
      <c r="K13" s="34" t="s">
        <v>29</v>
      </c>
      <c r="L13" s="34" t="s">
        <v>29</v>
      </c>
      <c r="M13" s="33"/>
      <c r="N13" s="34" t="s">
        <v>32</v>
      </c>
      <c r="O13" s="33"/>
      <c r="P13" s="33"/>
      <c r="Q13" s="37">
        <v>300</v>
      </c>
      <c r="R13" s="35">
        <v>60</v>
      </c>
      <c r="S13" s="36">
        <v>30</v>
      </c>
      <c r="T13" s="36">
        <v>15</v>
      </c>
      <c r="U13" s="36">
        <v>15</v>
      </c>
      <c r="V13" s="152" t="s">
        <v>33</v>
      </c>
      <c r="W13" s="598">
        <v>5</v>
      </c>
      <c r="X13" s="196">
        <v>6</v>
      </c>
      <c r="Y13" s="198">
        <v>1</v>
      </c>
      <c r="Z13" s="199">
        <v>3</v>
      </c>
      <c r="AA13" s="205">
        <v>5</v>
      </c>
      <c r="AB13" s="210"/>
      <c r="AC13" s="32"/>
      <c r="AD13" s="24"/>
      <c r="AE13" s="24"/>
      <c r="AF13" s="24"/>
      <c r="AG13" s="24"/>
      <c r="AH13" s="24"/>
      <c r="AI13" s="24"/>
      <c r="AJ13" s="24"/>
      <c r="AK13" s="24"/>
      <c r="AL13" s="24"/>
      <c r="AM13" s="347">
        <v>1</v>
      </c>
      <c r="AN13" s="1301">
        <v>81.900000000000006</v>
      </c>
      <c r="AO13" s="8"/>
      <c r="AP13" s="38"/>
      <c r="AQ13" s="528"/>
      <c r="AR13" s="531"/>
      <c r="AS13" s="531"/>
      <c r="AT13" s="531"/>
      <c r="AU13" s="335"/>
      <c r="AV13" s="1280"/>
      <c r="AW13" s="1553"/>
      <c r="AX13" s="1553"/>
      <c r="AY13" s="1047"/>
      <c r="AZ13" s="1047"/>
      <c r="BA13" s="1047"/>
      <c r="BB13" s="1047"/>
      <c r="BC13" s="1554"/>
      <c r="BD13" s="1554"/>
      <c r="BF13" s="1279"/>
      <c r="BG13" s="8"/>
    </row>
    <row r="14" spans="1:60" ht="16.149999999999999" customHeight="1" x14ac:dyDescent="0.25">
      <c r="A14" s="533">
        <f t="shared" si="0"/>
        <v>10</v>
      </c>
      <c r="B14" s="60"/>
      <c r="C14" s="184" t="s">
        <v>58</v>
      </c>
      <c r="D14" s="82"/>
      <c r="E14" s="82"/>
      <c r="F14" s="101"/>
      <c r="G14" s="101"/>
      <c r="H14" s="101"/>
      <c r="I14" s="131" t="s">
        <v>636</v>
      </c>
      <c r="J14" s="112"/>
      <c r="K14" s="119"/>
      <c r="L14" s="119"/>
      <c r="M14" s="120"/>
      <c r="N14" s="119"/>
      <c r="O14" s="119"/>
      <c r="P14" s="119"/>
      <c r="Q14" s="83"/>
      <c r="R14" s="83"/>
      <c r="S14" s="84"/>
      <c r="T14" s="84"/>
      <c r="U14" s="84"/>
      <c r="V14" s="83"/>
      <c r="W14" s="236"/>
      <c r="X14" s="83"/>
      <c r="Y14" s="83"/>
      <c r="Z14" s="83"/>
      <c r="AA14" s="83"/>
      <c r="AB14" s="1215"/>
      <c r="AC14" s="83"/>
      <c r="AD14" s="83"/>
      <c r="AE14" s="83"/>
      <c r="AF14" s="83"/>
      <c r="AG14" s="83"/>
      <c r="AH14" s="83"/>
      <c r="AI14" s="83"/>
      <c r="AJ14" s="83"/>
      <c r="AK14" s="83"/>
      <c r="AL14" s="85"/>
      <c r="AM14" s="1216"/>
      <c r="AN14" s="1217"/>
      <c r="AO14" s="8"/>
      <c r="AP14" s="38"/>
      <c r="AQ14" s="1281"/>
      <c r="AR14" s="531"/>
      <c r="AS14" s="531"/>
      <c r="AT14" s="531"/>
      <c r="AU14" s="81"/>
      <c r="AV14" s="1280"/>
      <c r="AW14" s="1121"/>
      <c r="AX14" s="8"/>
      <c r="AY14" s="1047"/>
      <c r="AZ14" s="1047"/>
      <c r="BA14" s="1047"/>
      <c r="BB14" s="1047"/>
      <c r="BC14" s="1282"/>
      <c r="BD14" s="81"/>
      <c r="BF14" s="1283"/>
      <c r="BG14" s="8"/>
    </row>
    <row r="15" spans="1:60" ht="16.149999999999999" customHeight="1" x14ac:dyDescent="0.25">
      <c r="A15" s="533">
        <f t="shared" si="0"/>
        <v>11</v>
      </c>
      <c r="B15" s="81">
        <v>110</v>
      </c>
      <c r="C15" s="188">
        <f>C13+1</f>
        <v>8</v>
      </c>
      <c r="D15" s="73" t="s">
        <v>29</v>
      </c>
      <c r="E15" s="75" t="s">
        <v>29</v>
      </c>
      <c r="F15" s="145" t="s">
        <v>64</v>
      </c>
      <c r="G15" s="103" t="s">
        <v>65</v>
      </c>
      <c r="H15" s="1293" t="str">
        <f>V15</f>
        <v>PROFILE</v>
      </c>
      <c r="I15" s="146" t="s">
        <v>622</v>
      </c>
      <c r="J15" s="810" t="s">
        <v>1012</v>
      </c>
      <c r="K15" s="135" t="s">
        <v>29</v>
      </c>
      <c r="L15" s="34" t="s">
        <v>29</v>
      </c>
      <c r="M15" s="33" t="s">
        <v>29</v>
      </c>
      <c r="N15" s="34"/>
      <c r="O15" s="33" t="s">
        <v>32</v>
      </c>
      <c r="P15" s="33"/>
      <c r="Q15" s="37">
        <v>240</v>
      </c>
      <c r="R15" s="35"/>
      <c r="S15" s="35"/>
      <c r="T15" s="36"/>
      <c r="U15" s="36"/>
      <c r="V15" s="152" t="s">
        <v>63</v>
      </c>
      <c r="W15" s="311">
        <v>6</v>
      </c>
      <c r="X15" s="199">
        <v>7</v>
      </c>
      <c r="Y15" s="202"/>
      <c r="Z15" s="152"/>
      <c r="AA15" s="201"/>
      <c r="AB15" s="210"/>
      <c r="AC15" s="135" t="s">
        <v>32</v>
      </c>
      <c r="AD15" s="34"/>
      <c r="AE15" s="34"/>
      <c r="AF15" s="34"/>
      <c r="AG15" s="34"/>
      <c r="AH15" s="34"/>
      <c r="AI15" s="34"/>
      <c r="AJ15" s="34"/>
      <c r="AK15" s="34"/>
      <c r="AL15" s="34"/>
      <c r="AM15" s="347"/>
      <c r="AN15" s="1301">
        <v>67.2</v>
      </c>
      <c r="AO15" s="8"/>
      <c r="AP15" s="38"/>
      <c r="AQ15" s="1281"/>
      <c r="AR15" s="531"/>
      <c r="AS15" s="531"/>
      <c r="AT15" s="531"/>
      <c r="AU15" s="81"/>
      <c r="AV15" s="1280"/>
      <c r="AW15" s="1121"/>
      <c r="AX15" s="8"/>
      <c r="AY15" s="1047"/>
      <c r="AZ15" s="1047"/>
      <c r="BA15" s="1047"/>
      <c r="BB15" s="1047"/>
      <c r="BC15" s="1282"/>
      <c r="BD15" s="81"/>
      <c r="BF15" s="1279"/>
      <c r="BG15" s="8"/>
    </row>
    <row r="16" spans="1:60" ht="16.149999999999999" customHeight="1" x14ac:dyDescent="0.25">
      <c r="A16" s="533">
        <f t="shared" si="0"/>
        <v>12</v>
      </c>
      <c r="B16" s="81">
        <v>136</v>
      </c>
      <c r="C16" s="188">
        <f>C15+1</f>
        <v>9</v>
      </c>
      <c r="D16" s="73" t="s">
        <v>32</v>
      </c>
      <c r="E16" s="75" t="s">
        <v>29</v>
      </c>
      <c r="F16" s="139" t="s">
        <v>66</v>
      </c>
      <c r="G16" s="55" t="s">
        <v>67</v>
      </c>
      <c r="H16" s="1293" t="str">
        <f t="shared" ref="H16:H17" si="1">V16</f>
        <v>PROFILE</v>
      </c>
      <c r="I16" s="132" t="s">
        <v>68</v>
      </c>
      <c r="J16" s="793" t="s">
        <v>69</v>
      </c>
      <c r="K16" s="135" t="s">
        <v>29</v>
      </c>
      <c r="L16" s="34" t="s">
        <v>29</v>
      </c>
      <c r="M16" s="33" t="s">
        <v>29</v>
      </c>
      <c r="N16" s="34"/>
      <c r="O16" s="33" t="s">
        <v>32</v>
      </c>
      <c r="P16" s="33"/>
      <c r="Q16" s="37">
        <v>240</v>
      </c>
      <c r="R16" s="35"/>
      <c r="S16" s="35"/>
      <c r="T16" s="36"/>
      <c r="U16" s="36"/>
      <c r="V16" s="152" t="s">
        <v>63</v>
      </c>
      <c r="W16" s="311">
        <v>6</v>
      </c>
      <c r="X16" s="195">
        <v>8</v>
      </c>
      <c r="Y16" s="202"/>
      <c r="Z16" s="152"/>
      <c r="AA16" s="201"/>
      <c r="AB16" s="210"/>
      <c r="AC16" s="135" t="s">
        <v>32</v>
      </c>
      <c r="AD16" s="34"/>
      <c r="AE16" s="34"/>
      <c r="AF16" s="34"/>
      <c r="AG16" s="34"/>
      <c r="AH16" s="34"/>
      <c r="AI16" s="34"/>
      <c r="AJ16" s="34"/>
      <c r="AK16" s="34"/>
      <c r="AL16" s="34"/>
      <c r="AM16" s="347"/>
      <c r="AN16" s="1301">
        <v>69.900000000000006</v>
      </c>
      <c r="AO16" s="8"/>
      <c r="AP16" s="38"/>
      <c r="AQ16" s="1281"/>
      <c r="AR16" s="531"/>
      <c r="AS16" s="531"/>
      <c r="AT16" s="531"/>
      <c r="AU16" s="81"/>
      <c r="AV16" s="1280"/>
      <c r="AW16" s="1121"/>
      <c r="AX16" s="8"/>
      <c r="AY16" s="1047"/>
      <c r="AZ16" s="1047"/>
      <c r="BA16" s="1047"/>
      <c r="BB16" s="1047"/>
      <c r="BC16" s="1282"/>
      <c r="BD16" s="81"/>
      <c r="BF16" s="1279"/>
      <c r="BG16" s="8"/>
    </row>
    <row r="17" spans="1:66" ht="16.149999999999999" customHeight="1" x14ac:dyDescent="0.25">
      <c r="A17" s="533">
        <f t="shared" si="0"/>
        <v>13</v>
      </c>
      <c r="B17" s="81">
        <v>151</v>
      </c>
      <c r="C17" s="188">
        <f t="shared" ref="C17:C79" si="2">C16+1</f>
        <v>10</v>
      </c>
      <c r="D17" s="73"/>
      <c r="E17" s="75" t="s">
        <v>29</v>
      </c>
      <c r="F17" s="139" t="s">
        <v>70</v>
      </c>
      <c r="G17" s="55" t="s">
        <v>71</v>
      </c>
      <c r="H17" s="1293" t="str">
        <f t="shared" si="1"/>
        <v>PROFILE</v>
      </c>
      <c r="I17" s="132" t="s">
        <v>72</v>
      </c>
      <c r="J17" s="811" t="s">
        <v>29</v>
      </c>
      <c r="K17" s="135" t="s">
        <v>29</v>
      </c>
      <c r="L17" s="34" t="s">
        <v>29</v>
      </c>
      <c r="M17" s="33"/>
      <c r="N17" s="34"/>
      <c r="O17" s="33" t="s">
        <v>32</v>
      </c>
      <c r="P17" s="33"/>
      <c r="Q17" s="37">
        <v>240</v>
      </c>
      <c r="R17" s="35"/>
      <c r="S17" s="35"/>
      <c r="T17" s="36"/>
      <c r="U17" s="36"/>
      <c r="V17" s="152" t="s">
        <v>63</v>
      </c>
      <c r="W17" s="311">
        <v>6</v>
      </c>
      <c r="X17" s="195">
        <v>9</v>
      </c>
      <c r="Y17" s="202"/>
      <c r="Z17" s="152"/>
      <c r="AA17" s="201"/>
      <c r="AB17" s="210"/>
      <c r="AC17" s="135" t="s">
        <v>32</v>
      </c>
      <c r="AD17" s="34"/>
      <c r="AE17" s="34"/>
      <c r="AF17" s="34"/>
      <c r="AG17" s="34"/>
      <c r="AH17" s="34"/>
      <c r="AI17" s="34"/>
      <c r="AJ17" s="34"/>
      <c r="AK17" s="34"/>
      <c r="AL17" s="34"/>
      <c r="AM17" s="347">
        <v>3</v>
      </c>
      <c r="AN17" s="1301">
        <v>81.7</v>
      </c>
      <c r="AO17" s="8"/>
      <c r="AP17" s="38"/>
      <c r="AQ17" s="1281"/>
      <c r="AR17" s="531"/>
      <c r="AS17" s="531"/>
      <c r="AT17" s="531"/>
      <c r="AU17" s="81"/>
      <c r="AV17" s="1280"/>
      <c r="AW17" s="1121"/>
      <c r="AX17" s="8"/>
      <c r="AY17" s="1047"/>
      <c r="AZ17" s="1047"/>
      <c r="BA17" s="1047"/>
      <c r="BB17" s="1047"/>
      <c r="BC17" s="1282"/>
      <c r="BD17" s="81"/>
      <c r="BF17" s="1279"/>
      <c r="BG17" s="8"/>
    </row>
    <row r="18" spans="1:66" s="108" customFormat="1" ht="16.149999999999999" customHeight="1" x14ac:dyDescent="0.25">
      <c r="A18" s="533">
        <f t="shared" si="0"/>
        <v>14</v>
      </c>
      <c r="B18" s="81">
        <v>168</v>
      </c>
      <c r="C18" s="188">
        <f t="shared" si="2"/>
        <v>11</v>
      </c>
      <c r="D18" s="73" t="s">
        <v>29</v>
      </c>
      <c r="E18" s="75" t="s">
        <v>32</v>
      </c>
      <c r="F18" s="139" t="s">
        <v>402</v>
      </c>
      <c r="G18" s="55" t="s">
        <v>403</v>
      </c>
      <c r="H18" s="1185" t="str">
        <f>'DEGREE MARK SIMULATOR'!AI62</f>
        <v xml:space="preserve"> </v>
      </c>
      <c r="I18" s="132" t="s">
        <v>620</v>
      </c>
      <c r="J18" s="812" t="s">
        <v>404</v>
      </c>
      <c r="K18" s="135" t="s">
        <v>29</v>
      </c>
      <c r="L18" s="34" t="s">
        <v>29</v>
      </c>
      <c r="M18" s="33" t="s">
        <v>29</v>
      </c>
      <c r="N18" s="34"/>
      <c r="O18" s="33" t="s">
        <v>32</v>
      </c>
      <c r="P18" s="33"/>
      <c r="Q18" s="37">
        <v>240</v>
      </c>
      <c r="R18" s="35"/>
      <c r="S18" s="35"/>
      <c r="T18" s="36"/>
      <c r="U18" s="36"/>
      <c r="V18" s="152" t="s">
        <v>17</v>
      </c>
      <c r="W18" s="175">
        <v>7</v>
      </c>
      <c r="X18" s="195">
        <v>10</v>
      </c>
      <c r="Y18" s="203"/>
      <c r="Z18" s="176"/>
      <c r="AA18" s="206"/>
      <c r="AB18" s="210"/>
      <c r="AC18" s="135"/>
      <c r="AD18" s="34" t="s">
        <v>32</v>
      </c>
      <c r="AE18" s="34"/>
      <c r="AF18" s="34"/>
      <c r="AG18" s="34"/>
      <c r="AH18" s="34"/>
      <c r="AI18" s="34"/>
      <c r="AJ18" s="34"/>
      <c r="AK18" s="34"/>
      <c r="AL18" s="34"/>
      <c r="AM18" s="347"/>
      <c r="AN18" s="1301">
        <v>78</v>
      </c>
      <c r="AO18" s="8"/>
      <c r="AP18" s="38"/>
      <c r="AQ18" s="528"/>
      <c r="AR18" s="531"/>
      <c r="AS18" s="531"/>
      <c r="AT18" s="531"/>
      <c r="AU18" s="458"/>
      <c r="AV18" s="1278"/>
      <c r="AW18" s="1553"/>
      <c r="AX18" s="1553"/>
      <c r="AY18" s="1047"/>
      <c r="AZ18" s="1047"/>
      <c r="BA18" s="1047"/>
      <c r="BB18" s="1047"/>
      <c r="BC18" s="1578"/>
      <c r="BD18" s="1578"/>
      <c r="BE18" s="72"/>
      <c r="BF18" s="1279"/>
      <c r="BG18" s="8"/>
      <c r="BH18" s="72"/>
      <c r="BI18" s="72"/>
      <c r="BJ18" s="72"/>
      <c r="BK18" s="72"/>
      <c r="BL18" s="72"/>
      <c r="BM18" s="72"/>
      <c r="BN18" s="72"/>
    </row>
    <row r="19" spans="1:66" s="108" customFormat="1" ht="16.149999999999999" customHeight="1" x14ac:dyDescent="0.25">
      <c r="A19" s="533">
        <f t="shared" si="0"/>
        <v>15</v>
      </c>
      <c r="B19" s="81">
        <v>104</v>
      </c>
      <c r="C19" s="188">
        <f t="shared" si="2"/>
        <v>12</v>
      </c>
      <c r="D19" s="73"/>
      <c r="E19" s="75" t="s">
        <v>29</v>
      </c>
      <c r="F19" s="139" t="s">
        <v>273</v>
      </c>
      <c r="G19" s="55" t="s">
        <v>274</v>
      </c>
      <c r="H19" s="1185" t="str">
        <f>'DEGREE MARK SIMULATOR'!AI63</f>
        <v xml:space="preserve"> </v>
      </c>
      <c r="I19" s="132" t="s">
        <v>275</v>
      </c>
      <c r="J19" s="793" t="s">
        <v>276</v>
      </c>
      <c r="K19" s="135" t="s">
        <v>29</v>
      </c>
      <c r="L19" s="34" t="s">
        <v>29</v>
      </c>
      <c r="M19" s="33"/>
      <c r="N19" s="34"/>
      <c r="O19" s="33" t="s">
        <v>32</v>
      </c>
      <c r="P19" s="33"/>
      <c r="Q19" s="37">
        <v>240</v>
      </c>
      <c r="R19" s="35"/>
      <c r="S19" s="35"/>
      <c r="T19" s="36"/>
      <c r="U19" s="36"/>
      <c r="V19" s="152" t="s">
        <v>17</v>
      </c>
      <c r="W19" s="175">
        <v>7</v>
      </c>
      <c r="X19" s="195">
        <v>11</v>
      </c>
      <c r="Y19" s="203"/>
      <c r="Z19" s="176"/>
      <c r="AA19" s="206"/>
      <c r="AB19" s="210"/>
      <c r="AC19" s="135"/>
      <c r="AD19" s="34" t="s">
        <v>32</v>
      </c>
      <c r="AE19" s="34"/>
      <c r="AF19" s="34"/>
      <c r="AG19" s="34"/>
      <c r="AH19" s="34"/>
      <c r="AI19" s="34"/>
      <c r="AJ19" s="34"/>
      <c r="AK19" s="34"/>
      <c r="AL19" s="34"/>
      <c r="AM19" s="347">
        <v>2</v>
      </c>
      <c r="AN19" s="1301">
        <v>69.5</v>
      </c>
      <c r="AO19" s="8"/>
      <c r="AP19" s="38"/>
      <c r="AQ19" s="528"/>
      <c r="AR19" s="531"/>
      <c r="AS19" s="531"/>
      <c r="AT19" s="531"/>
      <c r="AU19" s="458"/>
      <c r="AV19" s="1278"/>
      <c r="AW19" s="1553"/>
      <c r="AX19" s="1553"/>
      <c r="AY19" s="1047"/>
      <c r="AZ19" s="1047"/>
      <c r="BA19" s="1047"/>
      <c r="BB19" s="1047"/>
      <c r="BC19" s="1578"/>
      <c r="BD19" s="1578"/>
      <c r="BE19" s="72"/>
      <c r="BF19" s="1279"/>
      <c r="BG19" s="8"/>
      <c r="BH19" s="72"/>
      <c r="BI19" s="72"/>
      <c r="BJ19" s="72"/>
      <c r="BK19" s="72"/>
      <c r="BL19" s="72"/>
      <c r="BM19" s="72"/>
      <c r="BN19" s="72"/>
    </row>
    <row r="20" spans="1:66" s="108" customFormat="1" ht="16.149999999999999" customHeight="1" x14ac:dyDescent="0.25">
      <c r="A20" s="533">
        <f>A19+1</f>
        <v>16</v>
      </c>
      <c r="B20" s="81">
        <v>3</v>
      </c>
      <c r="C20" s="188">
        <f>C19+1</f>
        <v>13</v>
      </c>
      <c r="D20" s="73" t="s">
        <v>32</v>
      </c>
      <c r="E20" s="75" t="s">
        <v>29</v>
      </c>
      <c r="F20" s="139" t="s">
        <v>73</v>
      </c>
      <c r="G20" s="55" t="s">
        <v>74</v>
      </c>
      <c r="H20" s="1185" t="str">
        <f>'DEGREE MARK SIMULATOR'!AI64</f>
        <v xml:space="preserve"> </v>
      </c>
      <c r="I20" s="132" t="s">
        <v>623</v>
      </c>
      <c r="J20" s="793" t="s">
        <v>743</v>
      </c>
      <c r="K20" s="135" t="s">
        <v>29</v>
      </c>
      <c r="L20" s="34" t="s">
        <v>29</v>
      </c>
      <c r="M20" s="33" t="s">
        <v>32</v>
      </c>
      <c r="N20" s="34"/>
      <c r="O20" s="33" t="s">
        <v>32</v>
      </c>
      <c r="P20" s="33"/>
      <c r="Q20" s="37">
        <v>240</v>
      </c>
      <c r="R20" s="35"/>
      <c r="S20" s="35"/>
      <c r="T20" s="35"/>
      <c r="U20" s="35"/>
      <c r="V20" s="37" t="s">
        <v>16</v>
      </c>
      <c r="W20" s="311">
        <v>8</v>
      </c>
      <c r="X20" s="178">
        <v>12</v>
      </c>
      <c r="Y20" s="70"/>
      <c r="Z20" s="37">
        <v>50</v>
      </c>
      <c r="AA20" s="68">
        <v>50</v>
      </c>
      <c r="AB20" s="210"/>
      <c r="AC20" s="135"/>
      <c r="AD20" s="34"/>
      <c r="AE20" s="34" t="s">
        <v>32</v>
      </c>
      <c r="AF20" s="34"/>
      <c r="AG20" s="34"/>
      <c r="AH20" s="34"/>
      <c r="AI20" s="34"/>
      <c r="AJ20" s="34"/>
      <c r="AK20" s="34"/>
      <c r="AL20" s="34"/>
      <c r="AM20" s="347"/>
      <c r="AN20" s="1301">
        <v>65.8</v>
      </c>
      <c r="AO20" s="8"/>
      <c r="AP20" s="38"/>
      <c r="AQ20" s="528"/>
      <c r="AR20" s="531"/>
      <c r="AS20" s="531"/>
      <c r="AT20" s="531"/>
      <c r="AU20" s="335"/>
      <c r="AV20" s="1280"/>
      <c r="AW20" s="1553"/>
      <c r="AX20" s="1553"/>
      <c r="AY20" s="1047"/>
      <c r="AZ20" s="1047"/>
      <c r="BA20" s="1047"/>
      <c r="BB20" s="1047"/>
      <c r="BC20" s="1553"/>
      <c r="BD20" s="1553"/>
      <c r="BE20" s="72"/>
      <c r="BF20" s="1279"/>
      <c r="BG20" s="8"/>
      <c r="BH20" s="72"/>
      <c r="BI20" s="72"/>
      <c r="BJ20" s="72"/>
      <c r="BK20" s="72"/>
      <c r="BL20" s="72"/>
      <c r="BM20" s="72"/>
      <c r="BN20" s="72"/>
    </row>
    <row r="21" spans="1:66" s="108" customFormat="1" ht="16.149999999999999" customHeight="1" x14ac:dyDescent="0.25">
      <c r="A21" s="533">
        <f t="shared" si="0"/>
        <v>17</v>
      </c>
      <c r="B21" s="81">
        <v>8</v>
      </c>
      <c r="C21" s="188">
        <f t="shared" si="2"/>
        <v>14</v>
      </c>
      <c r="D21" s="73"/>
      <c r="E21" s="75"/>
      <c r="F21" s="139" t="s">
        <v>75</v>
      </c>
      <c r="G21" s="55" t="s">
        <v>76</v>
      </c>
      <c r="H21" s="1185" t="str">
        <f>H20</f>
        <v xml:space="preserve"> </v>
      </c>
      <c r="I21" s="132" t="s">
        <v>77</v>
      </c>
      <c r="J21" s="813" t="s">
        <v>78</v>
      </c>
      <c r="K21" s="135" t="s">
        <v>29</v>
      </c>
      <c r="L21" s="34"/>
      <c r="M21" s="33"/>
      <c r="N21" s="34"/>
      <c r="O21" s="33" t="s">
        <v>32</v>
      </c>
      <c r="P21" s="33"/>
      <c r="Q21" s="37">
        <v>240</v>
      </c>
      <c r="R21" s="35"/>
      <c r="S21" s="35"/>
      <c r="T21" s="36"/>
      <c r="U21" s="36"/>
      <c r="V21" s="37" t="s">
        <v>16</v>
      </c>
      <c r="W21" s="311">
        <v>8</v>
      </c>
      <c r="X21" s="178"/>
      <c r="Y21" s="70"/>
      <c r="Z21" s="37">
        <v>50</v>
      </c>
      <c r="AA21" s="68">
        <v>50</v>
      </c>
      <c r="AB21" s="210"/>
      <c r="AC21" s="135"/>
      <c r="AD21" s="34"/>
      <c r="AE21" s="34" t="s">
        <v>32</v>
      </c>
      <c r="AF21" s="34"/>
      <c r="AG21" s="34"/>
      <c r="AH21" s="34"/>
      <c r="AI21" s="34"/>
      <c r="AJ21" s="34"/>
      <c r="AK21" s="34"/>
      <c r="AL21" s="34"/>
      <c r="AM21" s="347"/>
      <c r="AN21" s="1301" t="s">
        <v>1285</v>
      </c>
      <c r="AO21" s="8"/>
      <c r="AP21" s="38"/>
      <c r="AQ21" s="528"/>
      <c r="AR21" s="531"/>
      <c r="AS21" s="531"/>
      <c r="AT21" s="531"/>
      <c r="AU21" s="335"/>
      <c r="AV21" s="1280"/>
      <c r="AW21" s="1121"/>
      <c r="AX21" s="1121"/>
      <c r="AY21" s="1047"/>
      <c r="AZ21" s="1047"/>
      <c r="BA21" s="1047"/>
      <c r="BB21" s="1047"/>
      <c r="BC21" s="1121"/>
      <c r="BD21" s="1121"/>
      <c r="BE21" s="72"/>
      <c r="BF21" s="1279"/>
      <c r="BG21" s="8"/>
      <c r="BH21" s="72"/>
      <c r="BI21" s="72"/>
      <c r="BJ21" s="72"/>
      <c r="BK21" s="72"/>
      <c r="BL21" s="72"/>
      <c r="BM21" s="72"/>
      <c r="BN21" s="72"/>
    </row>
    <row r="22" spans="1:66" s="108" customFormat="1" ht="16.149999999999999" customHeight="1" x14ac:dyDescent="0.25">
      <c r="A22" s="533">
        <f t="shared" si="0"/>
        <v>18</v>
      </c>
      <c r="B22" s="81">
        <v>20</v>
      </c>
      <c r="C22" s="188">
        <f t="shared" si="2"/>
        <v>15</v>
      </c>
      <c r="D22" s="73" t="s">
        <v>29</v>
      </c>
      <c r="E22" s="75" t="s">
        <v>29</v>
      </c>
      <c r="F22" s="139" t="s">
        <v>79</v>
      </c>
      <c r="G22" s="55" t="s">
        <v>80</v>
      </c>
      <c r="H22" s="1185" t="str">
        <f t="shared" ref="H22:H41" si="3">H21</f>
        <v xml:space="preserve"> </v>
      </c>
      <c r="I22" s="132" t="s">
        <v>624</v>
      </c>
      <c r="J22" s="793" t="s">
        <v>81</v>
      </c>
      <c r="K22" s="135" t="s">
        <v>29</v>
      </c>
      <c r="L22" s="34" t="s">
        <v>29</v>
      </c>
      <c r="M22" s="33" t="s">
        <v>29</v>
      </c>
      <c r="N22" s="34"/>
      <c r="O22" s="33" t="s">
        <v>32</v>
      </c>
      <c r="P22" s="33"/>
      <c r="Q22" s="37">
        <v>240</v>
      </c>
      <c r="R22" s="35"/>
      <c r="S22" s="35"/>
      <c r="T22" s="36"/>
      <c r="U22" s="36"/>
      <c r="V22" s="37" t="s">
        <v>16</v>
      </c>
      <c r="W22" s="311">
        <v>8</v>
      </c>
      <c r="X22" s="178"/>
      <c r="Y22" s="70"/>
      <c r="Z22" s="37">
        <v>50</v>
      </c>
      <c r="AA22" s="68">
        <v>50</v>
      </c>
      <c r="AB22" s="210"/>
      <c r="AC22" s="135"/>
      <c r="AD22" s="34"/>
      <c r="AE22" s="34" t="s">
        <v>32</v>
      </c>
      <c r="AF22" s="34"/>
      <c r="AG22" s="34"/>
      <c r="AH22" s="34"/>
      <c r="AI22" s="34"/>
      <c r="AJ22" s="34"/>
      <c r="AK22" s="34"/>
      <c r="AL22" s="34"/>
      <c r="AM22" s="347"/>
      <c r="AN22" s="1301">
        <v>69</v>
      </c>
      <c r="AO22" s="8"/>
      <c r="AP22" s="38"/>
      <c r="AQ22" s="528"/>
      <c r="AR22" s="531"/>
      <c r="AS22" s="531"/>
      <c r="AT22" s="531"/>
      <c r="AU22" s="335"/>
      <c r="AV22" s="1280"/>
      <c r="AW22" s="1121"/>
      <c r="AX22" s="1121"/>
      <c r="AY22" s="1047"/>
      <c r="AZ22" s="1047"/>
      <c r="BA22" s="1047"/>
      <c r="BB22" s="1047"/>
      <c r="BC22" s="1121"/>
      <c r="BD22" s="1121"/>
      <c r="BE22" s="72"/>
      <c r="BF22" s="1279"/>
      <c r="BG22" s="8"/>
      <c r="BH22" s="72"/>
      <c r="BI22" s="72"/>
      <c r="BJ22" s="72"/>
      <c r="BK22" s="72"/>
      <c r="BL22" s="72"/>
      <c r="BM22" s="72"/>
      <c r="BN22" s="72"/>
    </row>
    <row r="23" spans="1:66" s="108" customFormat="1" ht="16.149999999999999" customHeight="1" x14ac:dyDescent="0.25">
      <c r="A23" s="533">
        <f t="shared" si="0"/>
        <v>19</v>
      </c>
      <c r="B23" s="81">
        <v>29</v>
      </c>
      <c r="C23" s="188">
        <f t="shared" si="2"/>
        <v>16</v>
      </c>
      <c r="D23" s="73"/>
      <c r="E23" s="75"/>
      <c r="F23" s="139" t="s">
        <v>82</v>
      </c>
      <c r="G23" s="55" t="s">
        <v>83</v>
      </c>
      <c r="H23" s="1185" t="str">
        <f t="shared" si="3"/>
        <v xml:space="preserve"> </v>
      </c>
      <c r="I23" s="132" t="s">
        <v>84</v>
      </c>
      <c r="J23" s="813" t="s">
        <v>85</v>
      </c>
      <c r="K23" s="135" t="s">
        <v>29</v>
      </c>
      <c r="L23" s="34"/>
      <c r="M23" s="33"/>
      <c r="N23" s="34"/>
      <c r="O23" s="33" t="s">
        <v>32</v>
      </c>
      <c r="P23" s="33"/>
      <c r="Q23" s="37">
        <v>240</v>
      </c>
      <c r="R23" s="35"/>
      <c r="S23" s="35"/>
      <c r="T23" s="36"/>
      <c r="U23" s="36"/>
      <c r="V23" s="37" t="s">
        <v>16</v>
      </c>
      <c r="W23" s="311">
        <v>8</v>
      </c>
      <c r="X23" s="178"/>
      <c r="Y23" s="70"/>
      <c r="Z23" s="37">
        <v>50</v>
      </c>
      <c r="AA23" s="68">
        <v>50</v>
      </c>
      <c r="AB23" s="210"/>
      <c r="AC23" s="135"/>
      <c r="AD23" s="34"/>
      <c r="AE23" s="34" t="s">
        <v>32</v>
      </c>
      <c r="AF23" s="34"/>
      <c r="AG23" s="34"/>
      <c r="AH23" s="34"/>
      <c r="AI23" s="34"/>
      <c r="AJ23" s="34"/>
      <c r="AK23" s="34"/>
      <c r="AL23" s="34"/>
      <c r="AM23" s="347"/>
      <c r="AN23" s="1301">
        <v>69.7</v>
      </c>
      <c r="AO23" s="8"/>
      <c r="AP23" s="38"/>
      <c r="AQ23" s="528"/>
      <c r="AR23" s="531"/>
      <c r="AS23" s="531"/>
      <c r="AT23" s="531"/>
      <c r="AU23" s="335"/>
      <c r="AV23" s="1280"/>
      <c r="AW23" s="1121"/>
      <c r="AX23" s="1121"/>
      <c r="AY23" s="1047"/>
      <c r="AZ23" s="1047"/>
      <c r="BA23" s="1047"/>
      <c r="BB23" s="1047"/>
      <c r="BC23" s="1121"/>
      <c r="BD23" s="1121"/>
      <c r="BE23" s="72"/>
      <c r="BF23" s="1279"/>
      <c r="BG23" s="8"/>
      <c r="BH23" s="72"/>
      <c r="BI23" s="72"/>
      <c r="BJ23" s="72"/>
      <c r="BK23" s="72"/>
      <c r="BL23" s="72"/>
      <c r="BM23" s="72"/>
      <c r="BN23" s="72"/>
    </row>
    <row r="24" spans="1:66" s="108" customFormat="1" ht="16.149999999999999" customHeight="1" x14ac:dyDescent="0.25">
      <c r="A24" s="533">
        <f t="shared" si="0"/>
        <v>20</v>
      </c>
      <c r="B24" s="81">
        <v>53</v>
      </c>
      <c r="C24" s="188">
        <f t="shared" si="2"/>
        <v>17</v>
      </c>
      <c r="D24" s="73" t="s">
        <v>32</v>
      </c>
      <c r="E24" s="75" t="s">
        <v>29</v>
      </c>
      <c r="F24" s="139" t="s">
        <v>86</v>
      </c>
      <c r="G24" s="55" t="s">
        <v>87</v>
      </c>
      <c r="H24" s="1185" t="str">
        <f t="shared" si="3"/>
        <v xml:space="preserve"> </v>
      </c>
      <c r="I24" s="132" t="s">
        <v>88</v>
      </c>
      <c r="J24" s="793" t="s">
        <v>89</v>
      </c>
      <c r="K24" s="135" t="s">
        <v>29</v>
      </c>
      <c r="L24" s="34" t="s">
        <v>29</v>
      </c>
      <c r="M24" s="33" t="s">
        <v>29</v>
      </c>
      <c r="N24" s="34"/>
      <c r="O24" s="33" t="s">
        <v>32</v>
      </c>
      <c r="P24" s="33"/>
      <c r="Q24" s="37">
        <v>240</v>
      </c>
      <c r="R24" s="35"/>
      <c r="S24" s="35"/>
      <c r="T24" s="36"/>
      <c r="U24" s="36"/>
      <c r="V24" s="37" t="s">
        <v>16</v>
      </c>
      <c r="W24" s="311">
        <v>8</v>
      </c>
      <c r="X24" s="178"/>
      <c r="Y24" s="70"/>
      <c r="Z24" s="37">
        <v>50</v>
      </c>
      <c r="AA24" s="68">
        <v>50</v>
      </c>
      <c r="AB24" s="210"/>
      <c r="AC24" s="135"/>
      <c r="AD24" s="34"/>
      <c r="AE24" s="34" t="s">
        <v>32</v>
      </c>
      <c r="AF24" s="34"/>
      <c r="AG24" s="34"/>
      <c r="AH24" s="34"/>
      <c r="AI24" s="34"/>
      <c r="AJ24" s="34"/>
      <c r="AK24" s="34"/>
      <c r="AL24" s="34"/>
      <c r="AM24" s="347"/>
      <c r="AN24" s="1301">
        <v>89.5</v>
      </c>
      <c r="AO24" s="8"/>
      <c r="AP24" s="38"/>
      <c r="AQ24" s="528"/>
      <c r="AR24" s="531"/>
      <c r="AS24" s="531"/>
      <c r="AT24" s="531"/>
      <c r="AU24" s="335"/>
      <c r="AV24" s="1280"/>
      <c r="AW24" s="1121"/>
      <c r="AX24" s="1121"/>
      <c r="AY24" s="1047"/>
      <c r="AZ24" s="1047"/>
      <c r="BA24" s="1047"/>
      <c r="BB24" s="1047"/>
      <c r="BC24" s="1121"/>
      <c r="BD24" s="1121"/>
      <c r="BE24" s="72"/>
      <c r="BF24" s="1279"/>
      <c r="BG24" s="8"/>
      <c r="BH24" s="72"/>
      <c r="BI24" s="72"/>
      <c r="BJ24" s="72"/>
      <c r="BK24" s="72"/>
      <c r="BL24" s="72"/>
      <c r="BM24" s="72"/>
      <c r="BN24" s="72"/>
    </row>
    <row r="25" spans="1:66" s="108" customFormat="1" ht="16.149999999999999" customHeight="1" x14ac:dyDescent="0.25">
      <c r="A25" s="533">
        <f t="shared" si="0"/>
        <v>21</v>
      </c>
      <c r="B25" s="81">
        <v>121</v>
      </c>
      <c r="C25" s="188">
        <f t="shared" si="2"/>
        <v>18</v>
      </c>
      <c r="D25" s="73" t="s">
        <v>29</v>
      </c>
      <c r="E25" s="75" t="s">
        <v>29</v>
      </c>
      <c r="F25" s="139" t="s">
        <v>90</v>
      </c>
      <c r="G25" s="55" t="s">
        <v>91</v>
      </c>
      <c r="H25" s="1185" t="str">
        <f t="shared" si="3"/>
        <v xml:space="preserve"> </v>
      </c>
      <c r="I25" s="132" t="s">
        <v>528</v>
      </c>
      <c r="J25" s="793" t="s">
        <v>92</v>
      </c>
      <c r="K25" s="135" t="s">
        <v>29</v>
      </c>
      <c r="L25" s="34" t="s">
        <v>29</v>
      </c>
      <c r="M25" s="33" t="s">
        <v>29</v>
      </c>
      <c r="N25" s="34"/>
      <c r="O25" s="33" t="s">
        <v>32</v>
      </c>
      <c r="P25" s="33"/>
      <c r="Q25" s="37">
        <v>240</v>
      </c>
      <c r="R25" s="35"/>
      <c r="S25" s="35"/>
      <c r="T25" s="36"/>
      <c r="U25" s="36"/>
      <c r="V25" s="37" t="s">
        <v>16</v>
      </c>
      <c r="W25" s="311">
        <v>8</v>
      </c>
      <c r="X25" s="178"/>
      <c r="Y25" s="70"/>
      <c r="Z25" s="37">
        <v>50</v>
      </c>
      <c r="AA25" s="68">
        <v>50</v>
      </c>
      <c r="AB25" s="210"/>
      <c r="AC25" s="135"/>
      <c r="AD25" s="34"/>
      <c r="AE25" s="34" t="s">
        <v>32</v>
      </c>
      <c r="AF25" s="34"/>
      <c r="AG25" s="34"/>
      <c r="AH25" s="34"/>
      <c r="AI25" s="34"/>
      <c r="AJ25" s="34"/>
      <c r="AK25" s="34"/>
      <c r="AL25" s="34"/>
      <c r="AM25" s="347"/>
      <c r="AN25" s="1301" t="s">
        <v>1285</v>
      </c>
      <c r="AO25" s="8"/>
      <c r="AP25" s="38"/>
      <c r="AQ25" s="528"/>
      <c r="AR25" s="531"/>
      <c r="AS25" s="531"/>
      <c r="AT25" s="531"/>
      <c r="AU25" s="335"/>
      <c r="AV25" s="1280"/>
      <c r="AW25" s="1121"/>
      <c r="AX25" s="1121"/>
      <c r="AY25" s="1047"/>
      <c r="AZ25" s="1047"/>
      <c r="BA25" s="1047"/>
      <c r="BB25" s="1047"/>
      <c r="BC25" s="1121"/>
      <c r="BD25" s="1121"/>
      <c r="BE25" s="72"/>
      <c r="BF25" s="1279"/>
      <c r="BG25" s="8"/>
      <c r="BH25" s="72"/>
      <c r="BI25" s="72"/>
      <c r="BJ25" s="72"/>
      <c r="BK25" s="72"/>
      <c r="BL25" s="72"/>
      <c r="BM25" s="72"/>
      <c r="BN25" s="72"/>
    </row>
    <row r="26" spans="1:66" s="108" customFormat="1" ht="16.149999999999999" customHeight="1" x14ac:dyDescent="0.25">
      <c r="A26" s="533">
        <f t="shared" si="0"/>
        <v>22</v>
      </c>
      <c r="B26" s="81">
        <v>157</v>
      </c>
      <c r="C26" s="188">
        <f t="shared" si="2"/>
        <v>19</v>
      </c>
      <c r="D26" s="73" t="s">
        <v>32</v>
      </c>
      <c r="E26" s="75" t="s">
        <v>29</v>
      </c>
      <c r="F26" s="139" t="s">
        <v>93</v>
      </c>
      <c r="G26" s="55" t="s">
        <v>94</v>
      </c>
      <c r="H26" s="1185" t="str">
        <f t="shared" si="3"/>
        <v xml:space="preserve"> </v>
      </c>
      <c r="I26" s="132" t="s">
        <v>95</v>
      </c>
      <c r="J26" s="793" t="s">
        <v>96</v>
      </c>
      <c r="K26" s="135" t="s">
        <v>29</v>
      </c>
      <c r="L26" s="34" t="s">
        <v>29</v>
      </c>
      <c r="M26" s="33" t="s">
        <v>32</v>
      </c>
      <c r="N26" s="34"/>
      <c r="O26" s="33" t="s">
        <v>32</v>
      </c>
      <c r="P26" s="33"/>
      <c r="Q26" s="37">
        <v>240</v>
      </c>
      <c r="R26" s="35"/>
      <c r="S26" s="35"/>
      <c r="T26" s="36"/>
      <c r="U26" s="36"/>
      <c r="V26" s="37" t="s">
        <v>16</v>
      </c>
      <c r="W26" s="311">
        <v>8</v>
      </c>
      <c r="X26" s="178"/>
      <c r="Y26" s="70"/>
      <c r="Z26" s="37">
        <v>50</v>
      </c>
      <c r="AA26" s="68">
        <v>50</v>
      </c>
      <c r="AB26" s="210"/>
      <c r="AC26" s="135"/>
      <c r="AD26" s="34"/>
      <c r="AE26" s="34" t="s">
        <v>32</v>
      </c>
      <c r="AF26" s="34"/>
      <c r="AG26" s="34"/>
      <c r="AH26" s="34"/>
      <c r="AI26" s="34"/>
      <c r="AJ26" s="34"/>
      <c r="AK26" s="34"/>
      <c r="AL26" s="34"/>
      <c r="AM26" s="347"/>
      <c r="AN26" s="1301">
        <v>89.8</v>
      </c>
      <c r="AO26" s="8"/>
      <c r="AP26" s="38"/>
      <c r="AQ26" s="528"/>
      <c r="AR26" s="531"/>
      <c r="AS26" s="531"/>
      <c r="AT26" s="531"/>
      <c r="AU26" s="335"/>
      <c r="AV26" s="1280"/>
      <c r="AW26" s="1121"/>
      <c r="AX26" s="1121"/>
      <c r="AY26" s="1047"/>
      <c r="AZ26" s="1047"/>
      <c r="BA26" s="1047"/>
      <c r="BB26" s="1047"/>
      <c r="BC26" s="1121"/>
      <c r="BD26" s="1121"/>
      <c r="BE26" s="72"/>
      <c r="BF26" s="1279"/>
      <c r="BG26" s="8"/>
      <c r="BH26" s="72"/>
      <c r="BI26" s="72"/>
      <c r="BJ26" s="72"/>
      <c r="BK26" s="72"/>
      <c r="BL26" s="72"/>
      <c r="BM26" s="72"/>
      <c r="BN26" s="72"/>
    </row>
    <row r="27" spans="1:66" s="108" customFormat="1" ht="16.149999999999999" customHeight="1" x14ac:dyDescent="0.25">
      <c r="A27" s="533">
        <f t="shared" si="0"/>
        <v>23</v>
      </c>
      <c r="B27" s="81">
        <v>192</v>
      </c>
      <c r="C27" s="188">
        <f t="shared" si="2"/>
        <v>20</v>
      </c>
      <c r="D27" s="73" t="s">
        <v>29</v>
      </c>
      <c r="E27" s="75" t="s">
        <v>29</v>
      </c>
      <c r="F27" s="139" t="s">
        <v>97</v>
      </c>
      <c r="G27" s="55" t="s">
        <v>98</v>
      </c>
      <c r="H27" s="1185" t="str">
        <f t="shared" si="3"/>
        <v xml:space="preserve"> </v>
      </c>
      <c r="I27" s="132" t="s">
        <v>99</v>
      </c>
      <c r="J27" s="793" t="s">
        <v>100</v>
      </c>
      <c r="K27" s="135" t="s">
        <v>29</v>
      </c>
      <c r="L27" s="34" t="s">
        <v>29</v>
      </c>
      <c r="M27" s="33" t="s">
        <v>29</v>
      </c>
      <c r="N27" s="34"/>
      <c r="O27" s="33" t="s">
        <v>32</v>
      </c>
      <c r="P27" s="33"/>
      <c r="Q27" s="37">
        <v>240</v>
      </c>
      <c r="R27" s="35"/>
      <c r="S27" s="35"/>
      <c r="T27" s="36"/>
      <c r="U27" s="36"/>
      <c r="V27" s="37" t="s">
        <v>16</v>
      </c>
      <c r="W27" s="311">
        <v>8</v>
      </c>
      <c r="X27" s="178"/>
      <c r="Y27" s="70"/>
      <c r="Z27" s="37">
        <v>50</v>
      </c>
      <c r="AA27" s="68">
        <v>50</v>
      </c>
      <c r="AB27" s="210"/>
      <c r="AC27" s="135"/>
      <c r="AD27" s="34"/>
      <c r="AE27" s="34" t="s">
        <v>32</v>
      </c>
      <c r="AF27" s="34"/>
      <c r="AG27" s="34"/>
      <c r="AH27" s="34"/>
      <c r="AI27" s="34"/>
      <c r="AJ27" s="34"/>
      <c r="AK27" s="34"/>
      <c r="AL27" s="34"/>
      <c r="AM27" s="347">
        <v>8</v>
      </c>
      <c r="AN27" s="1301">
        <v>68.599999999999994</v>
      </c>
      <c r="AO27" s="8"/>
      <c r="AP27" s="38"/>
      <c r="AQ27" s="528"/>
      <c r="AR27" s="531"/>
      <c r="AS27" s="531"/>
      <c r="AT27" s="531"/>
      <c r="AU27" s="335"/>
      <c r="AV27" s="1280"/>
      <c r="AW27" s="1121"/>
      <c r="AX27" s="1121"/>
      <c r="AY27" s="1047"/>
      <c r="AZ27" s="1047"/>
      <c r="BA27" s="1047"/>
      <c r="BB27" s="1047"/>
      <c r="BC27" s="1121"/>
      <c r="BD27" s="1121"/>
      <c r="BE27" s="72"/>
      <c r="BF27" s="1279"/>
      <c r="BG27" s="8"/>
      <c r="BH27" s="72"/>
      <c r="BI27" s="72"/>
      <c r="BJ27" s="72"/>
      <c r="BK27" s="72"/>
      <c r="BL27" s="72"/>
      <c r="BM27" s="72"/>
      <c r="BN27" s="72"/>
    </row>
    <row r="28" spans="1:66" s="108" customFormat="1" ht="16.149999999999999" customHeight="1" x14ac:dyDescent="0.25">
      <c r="A28" s="533">
        <f t="shared" si="0"/>
        <v>24</v>
      </c>
      <c r="B28" s="81">
        <v>18</v>
      </c>
      <c r="C28" s="188">
        <f t="shared" si="2"/>
        <v>21</v>
      </c>
      <c r="D28" s="73" t="s">
        <v>29</v>
      </c>
      <c r="E28" s="75" t="s">
        <v>29</v>
      </c>
      <c r="F28" s="139" t="s">
        <v>101</v>
      </c>
      <c r="G28" s="55" t="s">
        <v>102</v>
      </c>
      <c r="H28" s="1185" t="str">
        <f>'DEGREE MARK SIMULATOR'!AI65</f>
        <v xml:space="preserve"> </v>
      </c>
      <c r="I28" s="132" t="s">
        <v>103</v>
      </c>
      <c r="J28" s="793" t="s">
        <v>104</v>
      </c>
      <c r="K28" s="135" t="s">
        <v>29</v>
      </c>
      <c r="L28" s="34" t="s">
        <v>29</v>
      </c>
      <c r="M28" s="33" t="s">
        <v>29</v>
      </c>
      <c r="N28" s="34"/>
      <c r="O28" s="33" t="s">
        <v>32</v>
      </c>
      <c r="P28" s="33"/>
      <c r="Q28" s="37">
        <v>240</v>
      </c>
      <c r="R28" s="35"/>
      <c r="S28" s="35"/>
      <c r="T28" s="36"/>
      <c r="U28" s="36"/>
      <c r="V28" s="37" t="s">
        <v>18</v>
      </c>
      <c r="W28" s="311">
        <v>9</v>
      </c>
      <c r="X28" s="178">
        <v>13</v>
      </c>
      <c r="Y28" s="70"/>
      <c r="Z28" s="37">
        <v>40</v>
      </c>
      <c r="AA28" s="68">
        <v>60</v>
      </c>
      <c r="AB28" s="210"/>
      <c r="AC28" s="135"/>
      <c r="AD28" s="34"/>
      <c r="AE28" s="34"/>
      <c r="AF28" s="34" t="s">
        <v>32</v>
      </c>
      <c r="AG28" s="34"/>
      <c r="AH28" s="34"/>
      <c r="AI28" s="34"/>
      <c r="AJ28" s="34"/>
      <c r="AK28" s="34"/>
      <c r="AL28" s="34"/>
      <c r="AM28" s="347"/>
      <c r="AN28" s="1301">
        <v>71.599999999999994</v>
      </c>
      <c r="AO28" s="8"/>
      <c r="AP28" s="38"/>
      <c r="AQ28" s="528"/>
      <c r="AR28" s="531"/>
      <c r="AS28" s="531"/>
      <c r="AT28" s="531"/>
      <c r="AU28" s="335"/>
      <c r="AV28" s="1280"/>
      <c r="AW28" s="1553"/>
      <c r="AX28" s="1553"/>
      <c r="AY28" s="1047"/>
      <c r="AZ28" s="1047"/>
      <c r="BA28" s="1047"/>
      <c r="BB28" s="1047"/>
      <c r="BC28" s="1553"/>
      <c r="BD28" s="1553"/>
      <c r="BE28" s="72"/>
      <c r="BF28" s="1279"/>
      <c r="BG28" s="8"/>
      <c r="BH28" s="72"/>
      <c r="BI28" s="72"/>
      <c r="BJ28" s="72"/>
      <c r="BK28" s="72"/>
      <c r="BL28" s="72"/>
      <c r="BM28" s="72"/>
      <c r="BN28" s="72"/>
    </row>
    <row r="29" spans="1:66" ht="16.149999999999999" customHeight="1" x14ac:dyDescent="0.25">
      <c r="A29" s="533">
        <f t="shared" si="0"/>
        <v>25</v>
      </c>
      <c r="B29" s="81">
        <v>24</v>
      </c>
      <c r="C29" s="188">
        <f t="shared" si="2"/>
        <v>22</v>
      </c>
      <c r="D29" s="73"/>
      <c r="E29" s="75"/>
      <c r="F29" s="139" t="s">
        <v>105</v>
      </c>
      <c r="G29" s="55" t="s">
        <v>106</v>
      </c>
      <c r="H29" s="1185" t="str">
        <f t="shared" si="3"/>
        <v xml:space="preserve"> </v>
      </c>
      <c r="I29" s="132" t="s">
        <v>107</v>
      </c>
      <c r="J29" s="813" t="s">
        <v>108</v>
      </c>
      <c r="K29" s="135" t="s">
        <v>29</v>
      </c>
      <c r="L29" s="34"/>
      <c r="M29" s="33"/>
      <c r="N29" s="34"/>
      <c r="O29" s="33" t="s">
        <v>32</v>
      </c>
      <c r="P29" s="33"/>
      <c r="Q29" s="37">
        <v>240</v>
      </c>
      <c r="R29" s="35"/>
      <c r="S29" s="35"/>
      <c r="T29" s="36"/>
      <c r="U29" s="36"/>
      <c r="V29" s="37" t="s">
        <v>18</v>
      </c>
      <c r="W29" s="311">
        <v>9</v>
      </c>
      <c r="X29" s="178"/>
      <c r="Y29" s="70"/>
      <c r="Z29" s="37">
        <v>40</v>
      </c>
      <c r="AA29" s="68">
        <v>60</v>
      </c>
      <c r="AB29" s="210"/>
      <c r="AC29" s="135"/>
      <c r="AD29" s="34"/>
      <c r="AE29" s="34"/>
      <c r="AF29" s="34" t="s">
        <v>32</v>
      </c>
      <c r="AG29" s="34"/>
      <c r="AH29" s="34"/>
      <c r="AI29" s="34"/>
      <c r="AJ29" s="34"/>
      <c r="AK29" s="34"/>
      <c r="AL29" s="34"/>
      <c r="AM29" s="347"/>
      <c r="AN29" s="1301" t="s">
        <v>1285</v>
      </c>
      <c r="AO29" s="8"/>
      <c r="AP29" s="38"/>
      <c r="AQ29" s="528"/>
      <c r="AR29" s="531"/>
      <c r="AS29" s="531"/>
      <c r="AT29" s="531"/>
      <c r="AU29" s="335"/>
      <c r="AV29" s="1280"/>
      <c r="AW29" s="1121"/>
      <c r="AX29" s="1121"/>
      <c r="AY29" s="1047"/>
      <c r="AZ29" s="1047"/>
      <c r="BA29" s="1047"/>
      <c r="BB29" s="1047"/>
      <c r="BC29" s="1121"/>
      <c r="BD29" s="1121"/>
      <c r="BF29" s="1279"/>
      <c r="BG29" s="8"/>
    </row>
    <row r="30" spans="1:66" ht="16.149999999999999" customHeight="1" x14ac:dyDescent="0.25">
      <c r="A30" s="533">
        <f t="shared" si="0"/>
        <v>26</v>
      </c>
      <c r="B30" s="81">
        <v>37</v>
      </c>
      <c r="C30" s="188">
        <f t="shared" si="2"/>
        <v>23</v>
      </c>
      <c r="D30" s="73" t="s">
        <v>29</v>
      </c>
      <c r="E30" s="75" t="s">
        <v>29</v>
      </c>
      <c r="F30" s="139" t="s">
        <v>109</v>
      </c>
      <c r="G30" s="55" t="s">
        <v>110</v>
      </c>
      <c r="H30" s="1185" t="str">
        <f t="shared" si="3"/>
        <v xml:space="preserve"> </v>
      </c>
      <c r="I30" s="132" t="s">
        <v>637</v>
      </c>
      <c r="J30" s="793" t="s">
        <v>111</v>
      </c>
      <c r="K30" s="135" t="s">
        <v>29</v>
      </c>
      <c r="L30" s="34" t="s">
        <v>29</v>
      </c>
      <c r="M30" s="33" t="s">
        <v>29</v>
      </c>
      <c r="N30" s="34"/>
      <c r="O30" s="33" t="s">
        <v>32</v>
      </c>
      <c r="P30" s="33"/>
      <c r="Q30" s="37">
        <v>240</v>
      </c>
      <c r="R30" s="35"/>
      <c r="S30" s="35"/>
      <c r="T30" s="36"/>
      <c r="U30" s="36"/>
      <c r="V30" s="37" t="s">
        <v>18</v>
      </c>
      <c r="W30" s="311">
        <v>9</v>
      </c>
      <c r="X30" s="178"/>
      <c r="Y30" s="70"/>
      <c r="Z30" s="37">
        <v>40</v>
      </c>
      <c r="AA30" s="68">
        <v>60</v>
      </c>
      <c r="AB30" s="210"/>
      <c r="AC30" s="135"/>
      <c r="AD30" s="34"/>
      <c r="AE30" s="34"/>
      <c r="AF30" s="34" t="s">
        <v>32</v>
      </c>
      <c r="AG30" s="34"/>
      <c r="AH30" s="34"/>
      <c r="AI30" s="34"/>
      <c r="AJ30" s="34"/>
      <c r="AK30" s="34"/>
      <c r="AL30" s="34"/>
      <c r="AM30" s="347"/>
      <c r="AN30" s="1301">
        <v>73.099999999999994</v>
      </c>
      <c r="AO30" s="8"/>
      <c r="AP30" s="38"/>
      <c r="AQ30" s="528"/>
      <c r="AR30" s="531"/>
      <c r="AS30" s="531"/>
      <c r="AT30" s="531"/>
      <c r="AU30" s="335"/>
      <c r="AV30" s="1280"/>
      <c r="AW30" s="1121"/>
      <c r="AX30" s="1121"/>
      <c r="AY30" s="1047"/>
      <c r="AZ30" s="1047"/>
      <c r="BA30" s="1047"/>
      <c r="BB30" s="1047"/>
      <c r="BC30" s="1121"/>
      <c r="BD30" s="1121"/>
      <c r="BF30" s="1279"/>
      <c r="BG30" s="8"/>
    </row>
    <row r="31" spans="1:66" ht="16.149999999999999" customHeight="1" x14ac:dyDescent="0.25">
      <c r="A31" s="533">
        <f t="shared" si="0"/>
        <v>27</v>
      </c>
      <c r="B31" s="81">
        <v>47</v>
      </c>
      <c r="C31" s="188">
        <f t="shared" si="2"/>
        <v>24</v>
      </c>
      <c r="D31" s="73" t="s">
        <v>32</v>
      </c>
      <c r="E31" s="75" t="s">
        <v>29</v>
      </c>
      <c r="F31" s="139" t="s">
        <v>112</v>
      </c>
      <c r="G31" s="55" t="s">
        <v>113</v>
      </c>
      <c r="H31" s="1185" t="str">
        <f t="shared" si="3"/>
        <v xml:space="preserve"> </v>
      </c>
      <c r="I31" s="132" t="s">
        <v>638</v>
      </c>
      <c r="J31" s="793" t="s">
        <v>114</v>
      </c>
      <c r="K31" s="135" t="s">
        <v>29</v>
      </c>
      <c r="L31" s="34" t="s">
        <v>29</v>
      </c>
      <c r="M31" s="33" t="s">
        <v>29</v>
      </c>
      <c r="N31" s="34"/>
      <c r="O31" s="33" t="s">
        <v>32</v>
      </c>
      <c r="P31" s="33"/>
      <c r="Q31" s="37">
        <v>240</v>
      </c>
      <c r="R31" s="35"/>
      <c r="S31" s="35"/>
      <c r="T31" s="36"/>
      <c r="U31" s="36"/>
      <c r="V31" s="37" t="s">
        <v>18</v>
      </c>
      <c r="W31" s="311">
        <v>9</v>
      </c>
      <c r="X31" s="178"/>
      <c r="Y31" s="70"/>
      <c r="Z31" s="37">
        <v>40</v>
      </c>
      <c r="AA31" s="68">
        <v>60</v>
      </c>
      <c r="AB31" s="210"/>
      <c r="AC31" s="135"/>
      <c r="AD31" s="34"/>
      <c r="AE31" s="34"/>
      <c r="AF31" s="34" t="s">
        <v>32</v>
      </c>
      <c r="AG31" s="34"/>
      <c r="AH31" s="34"/>
      <c r="AI31" s="34"/>
      <c r="AJ31" s="34"/>
      <c r="AK31" s="34"/>
      <c r="AL31" s="34"/>
      <c r="AM31" s="347"/>
      <c r="AN31" s="1301">
        <v>78.900000000000006</v>
      </c>
      <c r="AO31" s="8"/>
      <c r="AP31" s="38"/>
      <c r="AQ31" s="528"/>
      <c r="AR31" s="531"/>
      <c r="AS31" s="531"/>
      <c r="AT31" s="531"/>
      <c r="AU31" s="335"/>
      <c r="AV31" s="1280"/>
      <c r="AW31" s="1121"/>
      <c r="AX31" s="1121"/>
      <c r="AY31" s="1047"/>
      <c r="AZ31" s="1047"/>
      <c r="BA31" s="1047"/>
      <c r="BB31" s="1047"/>
      <c r="BC31" s="1121"/>
      <c r="BD31" s="1121"/>
      <c r="BF31" s="1279"/>
      <c r="BG31" s="8"/>
    </row>
    <row r="32" spans="1:66" ht="16.149999999999999" customHeight="1" x14ac:dyDescent="0.25">
      <c r="A32" s="533">
        <f t="shared" si="0"/>
        <v>28</v>
      </c>
      <c r="B32" s="81">
        <v>48</v>
      </c>
      <c r="C32" s="188">
        <f t="shared" si="2"/>
        <v>25</v>
      </c>
      <c r="D32" s="73" t="s">
        <v>29</v>
      </c>
      <c r="E32" s="75" t="s">
        <v>29</v>
      </c>
      <c r="F32" s="139" t="s">
        <v>115</v>
      </c>
      <c r="G32" s="55" t="s">
        <v>116</v>
      </c>
      <c r="H32" s="1185" t="str">
        <f t="shared" si="3"/>
        <v xml:space="preserve"> </v>
      </c>
      <c r="I32" s="132" t="s">
        <v>615</v>
      </c>
      <c r="J32" s="793" t="s">
        <v>117</v>
      </c>
      <c r="K32" s="135" t="s">
        <v>29</v>
      </c>
      <c r="L32" s="34" t="s">
        <v>29</v>
      </c>
      <c r="M32" s="33" t="s">
        <v>29</v>
      </c>
      <c r="N32" s="34"/>
      <c r="O32" s="33" t="s">
        <v>32</v>
      </c>
      <c r="P32" s="33"/>
      <c r="Q32" s="37">
        <v>240</v>
      </c>
      <c r="R32" s="35"/>
      <c r="S32" s="35"/>
      <c r="T32" s="36"/>
      <c r="U32" s="36"/>
      <c r="V32" s="37" t="s">
        <v>18</v>
      </c>
      <c r="W32" s="311">
        <v>9</v>
      </c>
      <c r="X32" s="178"/>
      <c r="Y32" s="70"/>
      <c r="Z32" s="37">
        <v>40</v>
      </c>
      <c r="AA32" s="68">
        <v>60</v>
      </c>
      <c r="AB32" s="210"/>
      <c r="AC32" s="135"/>
      <c r="AD32" s="34"/>
      <c r="AE32" s="34"/>
      <c r="AF32" s="34" t="s">
        <v>32</v>
      </c>
      <c r="AG32" s="34"/>
      <c r="AH32" s="34"/>
      <c r="AI32" s="34"/>
      <c r="AJ32" s="34"/>
      <c r="AK32" s="34"/>
      <c r="AL32" s="34"/>
      <c r="AM32" s="347"/>
      <c r="AN32" s="1301">
        <v>92.1</v>
      </c>
      <c r="AO32" s="8"/>
      <c r="AP32" s="38"/>
      <c r="AQ32" s="528"/>
      <c r="AR32" s="531"/>
      <c r="AS32" s="531"/>
      <c r="AT32" s="531"/>
      <c r="AU32" s="335"/>
      <c r="AV32" s="1280"/>
      <c r="AW32" s="1121"/>
      <c r="AX32" s="1121"/>
      <c r="AY32" s="1047"/>
      <c r="AZ32" s="1047"/>
      <c r="BA32" s="1047"/>
      <c r="BB32" s="1047"/>
      <c r="BC32" s="1121"/>
      <c r="BD32" s="1121"/>
      <c r="BF32" s="1279"/>
      <c r="BG32" s="8"/>
    </row>
    <row r="33" spans="1:59" ht="16.149999999999999" customHeight="1" x14ac:dyDescent="0.25">
      <c r="A33" s="533">
        <f t="shared" si="0"/>
        <v>29</v>
      </c>
      <c r="B33" s="81">
        <v>50</v>
      </c>
      <c r="C33" s="188">
        <f t="shared" si="2"/>
        <v>26</v>
      </c>
      <c r="D33" s="73" t="s">
        <v>29</v>
      </c>
      <c r="E33" s="75" t="s">
        <v>29</v>
      </c>
      <c r="F33" s="139" t="s">
        <v>118</v>
      </c>
      <c r="G33" s="55" t="s">
        <v>119</v>
      </c>
      <c r="H33" s="1185" t="str">
        <f t="shared" si="3"/>
        <v xml:space="preserve"> </v>
      </c>
      <c r="I33" s="132" t="s">
        <v>616</v>
      </c>
      <c r="J33" s="793" t="s">
        <v>120</v>
      </c>
      <c r="K33" s="135" t="s">
        <v>29</v>
      </c>
      <c r="L33" s="34" t="s">
        <v>29</v>
      </c>
      <c r="M33" s="33" t="s">
        <v>29</v>
      </c>
      <c r="N33" s="34"/>
      <c r="O33" s="33" t="s">
        <v>32</v>
      </c>
      <c r="P33" s="33"/>
      <c r="Q33" s="37">
        <v>240</v>
      </c>
      <c r="R33" s="35"/>
      <c r="S33" s="35"/>
      <c r="T33" s="36"/>
      <c r="U33" s="36"/>
      <c r="V33" s="37" t="s">
        <v>18</v>
      </c>
      <c r="W33" s="311">
        <v>9</v>
      </c>
      <c r="X33" s="178"/>
      <c r="Y33" s="70"/>
      <c r="Z33" s="37">
        <v>40</v>
      </c>
      <c r="AA33" s="68">
        <v>60</v>
      </c>
      <c r="AB33" s="210"/>
      <c r="AC33" s="135"/>
      <c r="AD33" s="34"/>
      <c r="AE33" s="34"/>
      <c r="AF33" s="34" t="s">
        <v>32</v>
      </c>
      <c r="AG33" s="34"/>
      <c r="AH33" s="34"/>
      <c r="AI33" s="34"/>
      <c r="AJ33" s="34"/>
      <c r="AK33" s="34"/>
      <c r="AL33" s="34"/>
      <c r="AM33" s="347"/>
      <c r="AN33" s="1301">
        <v>87.2</v>
      </c>
      <c r="AO33" s="8"/>
      <c r="AP33" s="38"/>
      <c r="AQ33" s="528"/>
      <c r="AR33" s="531"/>
      <c r="AS33" s="531"/>
      <c r="AT33" s="531"/>
      <c r="AU33" s="335"/>
      <c r="AV33" s="1280"/>
      <c r="AW33" s="1121"/>
      <c r="AX33" s="1121"/>
      <c r="AY33" s="1047"/>
      <c r="AZ33" s="1047"/>
      <c r="BA33" s="1047"/>
      <c r="BB33" s="1047"/>
      <c r="BC33" s="1121"/>
      <c r="BD33" s="1121"/>
      <c r="BF33" s="1279"/>
      <c r="BG33" s="8"/>
    </row>
    <row r="34" spans="1:59" s="22" customFormat="1" ht="16.149999999999999" customHeight="1" x14ac:dyDescent="0.25">
      <c r="A34" s="533">
        <f t="shared" si="0"/>
        <v>30</v>
      </c>
      <c r="B34" s="81">
        <v>55</v>
      </c>
      <c r="C34" s="188">
        <f t="shared" si="2"/>
        <v>27</v>
      </c>
      <c r="D34" s="73" t="s">
        <v>29</v>
      </c>
      <c r="E34" s="75" t="s">
        <v>29</v>
      </c>
      <c r="F34" s="139" t="s">
        <v>121</v>
      </c>
      <c r="G34" s="55" t="s">
        <v>122</v>
      </c>
      <c r="H34" s="1185" t="str">
        <f t="shared" si="3"/>
        <v xml:space="preserve"> </v>
      </c>
      <c r="I34" s="132" t="s">
        <v>123</v>
      </c>
      <c r="J34" s="793" t="s">
        <v>124</v>
      </c>
      <c r="K34" s="135" t="s">
        <v>29</v>
      </c>
      <c r="L34" s="34" t="s">
        <v>29</v>
      </c>
      <c r="M34" s="33" t="s">
        <v>29</v>
      </c>
      <c r="N34" s="34"/>
      <c r="O34" s="33" t="s">
        <v>32</v>
      </c>
      <c r="P34" s="33"/>
      <c r="Q34" s="37">
        <v>240</v>
      </c>
      <c r="R34" s="35"/>
      <c r="S34" s="35"/>
      <c r="T34" s="36"/>
      <c r="U34" s="36"/>
      <c r="V34" s="37" t="s">
        <v>18</v>
      </c>
      <c r="W34" s="311">
        <v>9</v>
      </c>
      <c r="X34" s="178"/>
      <c r="Y34" s="70"/>
      <c r="Z34" s="37">
        <v>40</v>
      </c>
      <c r="AA34" s="68">
        <v>60</v>
      </c>
      <c r="AB34" s="211"/>
      <c r="AC34" s="135"/>
      <c r="AD34" s="34"/>
      <c r="AE34" s="34"/>
      <c r="AF34" s="34" t="s">
        <v>32</v>
      </c>
      <c r="AG34" s="34"/>
      <c r="AH34" s="34"/>
      <c r="AI34" s="34"/>
      <c r="AJ34" s="34"/>
      <c r="AK34" s="34"/>
      <c r="AL34" s="34"/>
      <c r="AM34" s="347"/>
      <c r="AN34" s="1301">
        <v>74.5</v>
      </c>
      <c r="AO34" s="8"/>
      <c r="AP34" s="38"/>
      <c r="AQ34" s="528"/>
      <c r="AR34" s="531"/>
      <c r="AS34" s="531"/>
      <c r="AT34" s="531"/>
      <c r="AU34" s="335"/>
      <c r="AV34" s="1280"/>
      <c r="AW34" s="1121"/>
      <c r="AX34" s="1121"/>
      <c r="AY34" s="1047"/>
      <c r="AZ34" s="1047"/>
      <c r="BA34" s="1047"/>
      <c r="BB34" s="1047"/>
      <c r="BC34" s="1121"/>
      <c r="BD34" s="1121"/>
      <c r="BF34" s="1279"/>
      <c r="BG34" s="8"/>
    </row>
    <row r="35" spans="1:59" ht="16.149999999999999" customHeight="1" x14ac:dyDescent="0.25">
      <c r="A35" s="533">
        <f t="shared" si="0"/>
        <v>31</v>
      </c>
      <c r="B35" s="81">
        <v>84</v>
      </c>
      <c r="C35" s="188">
        <f t="shared" si="2"/>
        <v>28</v>
      </c>
      <c r="D35" s="73" t="s">
        <v>29</v>
      </c>
      <c r="E35" s="75" t="s">
        <v>29</v>
      </c>
      <c r="F35" s="139" t="s">
        <v>125</v>
      </c>
      <c r="G35" s="55" t="s">
        <v>126</v>
      </c>
      <c r="H35" s="1185" t="str">
        <f t="shared" si="3"/>
        <v xml:space="preserve"> </v>
      </c>
      <c r="I35" s="132" t="s">
        <v>127</v>
      </c>
      <c r="J35" s="793" t="s">
        <v>707</v>
      </c>
      <c r="K35" s="135" t="s">
        <v>29</v>
      </c>
      <c r="L35" s="34" t="s">
        <v>29</v>
      </c>
      <c r="M35" s="33" t="s">
        <v>29</v>
      </c>
      <c r="N35" s="34"/>
      <c r="O35" s="33" t="s">
        <v>32</v>
      </c>
      <c r="P35" s="33"/>
      <c r="Q35" s="37">
        <v>240</v>
      </c>
      <c r="R35" s="35"/>
      <c r="S35" s="35"/>
      <c r="T35" s="36"/>
      <c r="U35" s="36"/>
      <c r="V35" s="37" t="s">
        <v>18</v>
      </c>
      <c r="W35" s="311">
        <v>9</v>
      </c>
      <c r="X35" s="178"/>
      <c r="Y35" s="70"/>
      <c r="Z35" s="37">
        <v>40</v>
      </c>
      <c r="AA35" s="68">
        <v>60</v>
      </c>
      <c r="AB35" s="210"/>
      <c r="AC35" s="135"/>
      <c r="AD35" s="34"/>
      <c r="AE35" s="34"/>
      <c r="AF35" s="34" t="s">
        <v>32</v>
      </c>
      <c r="AG35" s="34"/>
      <c r="AH35" s="34"/>
      <c r="AI35" s="34"/>
      <c r="AJ35" s="34"/>
      <c r="AK35" s="34"/>
      <c r="AL35" s="34"/>
      <c r="AM35" s="347"/>
      <c r="AN35" s="1301">
        <v>79.099999999999994</v>
      </c>
      <c r="AO35" s="8"/>
      <c r="AP35" s="38"/>
      <c r="AQ35" s="528"/>
      <c r="AR35" s="531"/>
      <c r="AS35" s="531"/>
      <c r="AT35" s="531"/>
      <c r="AU35" s="335"/>
      <c r="AV35" s="1280"/>
      <c r="AW35" s="1121"/>
      <c r="AX35" s="1121"/>
      <c r="AY35" s="1047"/>
      <c r="AZ35" s="1047"/>
      <c r="BA35" s="1047"/>
      <c r="BB35" s="1047"/>
      <c r="BC35" s="1121"/>
      <c r="BD35" s="1121"/>
      <c r="BF35" s="1279"/>
      <c r="BG35" s="8"/>
    </row>
    <row r="36" spans="1:59" ht="16.149999999999999" customHeight="1" x14ac:dyDescent="0.25">
      <c r="A36" s="533">
        <f t="shared" si="0"/>
        <v>32</v>
      </c>
      <c r="B36" s="81">
        <v>114</v>
      </c>
      <c r="C36" s="188">
        <f t="shared" si="2"/>
        <v>29</v>
      </c>
      <c r="D36" s="73"/>
      <c r="E36" s="75"/>
      <c r="F36" s="139" t="s">
        <v>128</v>
      </c>
      <c r="G36" s="55" t="s">
        <v>129</v>
      </c>
      <c r="H36" s="1185" t="str">
        <f t="shared" si="3"/>
        <v xml:space="preserve"> </v>
      </c>
      <c r="I36" s="132" t="s">
        <v>130</v>
      </c>
      <c r="J36" s="813" t="s">
        <v>131</v>
      </c>
      <c r="K36" s="135"/>
      <c r="L36" s="34"/>
      <c r="M36" s="33"/>
      <c r="N36" s="34"/>
      <c r="O36" s="33" t="s">
        <v>32</v>
      </c>
      <c r="P36" s="33"/>
      <c r="Q36" s="37">
        <v>240</v>
      </c>
      <c r="R36" s="35"/>
      <c r="S36" s="35"/>
      <c r="T36" s="36"/>
      <c r="U36" s="36"/>
      <c r="V36" s="37" t="s">
        <v>18</v>
      </c>
      <c r="W36" s="311">
        <v>9</v>
      </c>
      <c r="X36" s="178"/>
      <c r="Y36" s="70"/>
      <c r="Z36" s="37">
        <v>40</v>
      </c>
      <c r="AA36" s="68">
        <v>60</v>
      </c>
      <c r="AB36" s="210"/>
      <c r="AC36" s="135"/>
      <c r="AD36" s="34"/>
      <c r="AE36" s="34"/>
      <c r="AF36" s="34" t="s">
        <v>32</v>
      </c>
      <c r="AG36" s="34"/>
      <c r="AH36" s="34"/>
      <c r="AI36" s="34"/>
      <c r="AJ36" s="34"/>
      <c r="AK36" s="34"/>
      <c r="AL36" s="34"/>
      <c r="AM36" s="347"/>
      <c r="AN36" s="1301">
        <v>60.9</v>
      </c>
      <c r="AO36" s="8"/>
      <c r="AP36" s="38"/>
      <c r="AQ36" s="528"/>
      <c r="AR36" s="531"/>
      <c r="AS36" s="531"/>
      <c r="AT36" s="531"/>
      <c r="AU36" s="335"/>
      <c r="AV36" s="1280"/>
      <c r="AW36" s="1121"/>
      <c r="AX36" s="1121"/>
      <c r="AY36" s="1047"/>
      <c r="AZ36" s="1047"/>
      <c r="BA36" s="1047"/>
      <c r="BB36" s="1047"/>
      <c r="BC36" s="1121"/>
      <c r="BD36" s="1121"/>
      <c r="BF36" s="1279"/>
      <c r="BG36" s="8"/>
    </row>
    <row r="37" spans="1:59" ht="16.149999999999999" customHeight="1" x14ac:dyDescent="0.25">
      <c r="A37" s="533">
        <f t="shared" si="0"/>
        <v>33</v>
      </c>
      <c r="B37" s="81">
        <v>116</v>
      </c>
      <c r="C37" s="188">
        <f t="shared" si="2"/>
        <v>30</v>
      </c>
      <c r="D37" s="73" t="s">
        <v>29</v>
      </c>
      <c r="E37" s="75" t="s">
        <v>29</v>
      </c>
      <c r="F37" s="139" t="s">
        <v>132</v>
      </c>
      <c r="G37" s="55" t="s">
        <v>133</v>
      </c>
      <c r="H37" s="1185" t="str">
        <f t="shared" si="3"/>
        <v xml:space="preserve"> </v>
      </c>
      <c r="I37" s="132" t="s">
        <v>625</v>
      </c>
      <c r="J37" s="793" t="s">
        <v>134</v>
      </c>
      <c r="K37" s="135" t="s">
        <v>29</v>
      </c>
      <c r="L37" s="34" t="s">
        <v>29</v>
      </c>
      <c r="M37" s="33" t="s">
        <v>29</v>
      </c>
      <c r="N37" s="34"/>
      <c r="O37" s="33" t="s">
        <v>32</v>
      </c>
      <c r="P37" s="33"/>
      <c r="Q37" s="37">
        <v>240</v>
      </c>
      <c r="R37" s="35"/>
      <c r="S37" s="35"/>
      <c r="T37" s="36"/>
      <c r="U37" s="36"/>
      <c r="V37" s="37" t="s">
        <v>18</v>
      </c>
      <c r="W37" s="311">
        <v>9</v>
      </c>
      <c r="X37" s="178"/>
      <c r="Y37" s="70"/>
      <c r="Z37" s="37">
        <v>40</v>
      </c>
      <c r="AA37" s="68">
        <v>60</v>
      </c>
      <c r="AB37" s="210"/>
      <c r="AC37" s="135"/>
      <c r="AD37" s="34"/>
      <c r="AE37" s="34"/>
      <c r="AF37" s="34" t="s">
        <v>32</v>
      </c>
      <c r="AG37" s="34"/>
      <c r="AH37" s="34"/>
      <c r="AI37" s="34"/>
      <c r="AJ37" s="34"/>
      <c r="AK37" s="34"/>
      <c r="AL37" s="34"/>
      <c r="AM37" s="347"/>
      <c r="AN37" s="1301">
        <v>68</v>
      </c>
      <c r="AO37" s="8"/>
      <c r="AP37" s="38"/>
      <c r="AQ37" s="528"/>
      <c r="AR37" s="531"/>
      <c r="AS37" s="531"/>
      <c r="AT37" s="531"/>
      <c r="AU37" s="335"/>
      <c r="AV37" s="1280"/>
      <c r="AW37" s="1121"/>
      <c r="AX37" s="1121"/>
      <c r="AY37" s="1047"/>
      <c r="AZ37" s="1047"/>
      <c r="BA37" s="1047"/>
      <c r="BB37" s="1047"/>
      <c r="BC37" s="1121"/>
      <c r="BD37" s="1121"/>
      <c r="BF37" s="1279"/>
      <c r="BG37" s="8"/>
    </row>
    <row r="38" spans="1:59" ht="16.149999999999999" customHeight="1" x14ac:dyDescent="0.25">
      <c r="A38" s="533">
        <f t="shared" si="0"/>
        <v>34</v>
      </c>
      <c r="B38" s="81">
        <v>164</v>
      </c>
      <c r="C38" s="188">
        <f t="shared" si="2"/>
        <v>31</v>
      </c>
      <c r="D38" s="73" t="s">
        <v>29</v>
      </c>
      <c r="E38" s="75" t="s">
        <v>29</v>
      </c>
      <c r="F38" s="139" t="s">
        <v>135</v>
      </c>
      <c r="G38" s="55" t="s">
        <v>136</v>
      </c>
      <c r="H38" s="1185" t="str">
        <f t="shared" si="3"/>
        <v xml:space="preserve"> </v>
      </c>
      <c r="I38" s="132" t="s">
        <v>626</v>
      </c>
      <c r="J38" s="793" t="s">
        <v>137</v>
      </c>
      <c r="K38" s="135" t="s">
        <v>29</v>
      </c>
      <c r="L38" s="34" t="s">
        <v>29</v>
      </c>
      <c r="M38" s="33" t="s">
        <v>32</v>
      </c>
      <c r="N38" s="34"/>
      <c r="O38" s="33" t="s">
        <v>32</v>
      </c>
      <c r="P38" s="33"/>
      <c r="Q38" s="37">
        <v>240</v>
      </c>
      <c r="R38" s="35"/>
      <c r="S38" s="35"/>
      <c r="T38" s="36"/>
      <c r="U38" s="36"/>
      <c r="V38" s="37" t="s">
        <v>18</v>
      </c>
      <c r="W38" s="311">
        <v>9</v>
      </c>
      <c r="X38" s="178"/>
      <c r="Y38" s="70"/>
      <c r="Z38" s="37">
        <v>40</v>
      </c>
      <c r="AA38" s="68">
        <v>60</v>
      </c>
      <c r="AB38" s="210"/>
      <c r="AC38" s="135"/>
      <c r="AD38" s="34"/>
      <c r="AE38" s="34"/>
      <c r="AF38" s="34" t="s">
        <v>32</v>
      </c>
      <c r="AG38" s="34"/>
      <c r="AH38" s="34"/>
      <c r="AI38" s="34"/>
      <c r="AJ38" s="34"/>
      <c r="AK38" s="34"/>
      <c r="AL38" s="34"/>
      <c r="AM38" s="347"/>
      <c r="AN38" s="1301">
        <v>66.8</v>
      </c>
      <c r="AO38" s="8"/>
      <c r="AP38" s="38"/>
      <c r="AQ38" s="528"/>
      <c r="AR38" s="531"/>
      <c r="AS38" s="531"/>
      <c r="AT38" s="531"/>
      <c r="AU38" s="335"/>
      <c r="AV38" s="1280"/>
      <c r="AW38" s="1121"/>
      <c r="AX38" s="1121"/>
      <c r="AY38" s="1047"/>
      <c r="AZ38" s="1047"/>
      <c r="BA38" s="1047"/>
      <c r="BB38" s="1047"/>
      <c r="BC38" s="1121"/>
      <c r="BD38" s="1121"/>
      <c r="BF38" s="1279"/>
      <c r="BG38" s="8"/>
    </row>
    <row r="39" spans="1:59" ht="16.149999999999999" customHeight="1" x14ac:dyDescent="0.25">
      <c r="A39" s="533">
        <f t="shared" si="0"/>
        <v>35</v>
      </c>
      <c r="B39" s="81">
        <v>167</v>
      </c>
      <c r="C39" s="188">
        <f t="shared" si="2"/>
        <v>32</v>
      </c>
      <c r="D39" s="73" t="s">
        <v>29</v>
      </c>
      <c r="E39" s="75" t="s">
        <v>29</v>
      </c>
      <c r="F39" s="139" t="s">
        <v>138</v>
      </c>
      <c r="G39" s="55" t="s">
        <v>139</v>
      </c>
      <c r="H39" s="1185" t="str">
        <f t="shared" si="3"/>
        <v xml:space="preserve"> </v>
      </c>
      <c r="I39" s="132" t="s">
        <v>627</v>
      </c>
      <c r="J39" s="793" t="s">
        <v>140</v>
      </c>
      <c r="K39" s="135" t="s">
        <v>29</v>
      </c>
      <c r="L39" s="34" t="s">
        <v>29</v>
      </c>
      <c r="M39" s="33" t="s">
        <v>29</v>
      </c>
      <c r="N39" s="34"/>
      <c r="O39" s="33" t="s">
        <v>32</v>
      </c>
      <c r="P39" s="33"/>
      <c r="Q39" s="37">
        <v>240</v>
      </c>
      <c r="R39" s="35"/>
      <c r="S39" s="35"/>
      <c r="T39" s="36"/>
      <c r="U39" s="36"/>
      <c r="V39" s="37" t="s">
        <v>18</v>
      </c>
      <c r="W39" s="311">
        <v>9</v>
      </c>
      <c r="X39" s="178"/>
      <c r="Y39" s="70"/>
      <c r="Z39" s="37">
        <v>40</v>
      </c>
      <c r="AA39" s="68">
        <v>60</v>
      </c>
      <c r="AB39" s="210"/>
      <c r="AC39" s="135"/>
      <c r="AD39" s="34"/>
      <c r="AE39" s="34"/>
      <c r="AF39" s="34" t="s">
        <v>32</v>
      </c>
      <c r="AG39" s="34"/>
      <c r="AH39" s="34"/>
      <c r="AI39" s="34"/>
      <c r="AJ39" s="34"/>
      <c r="AK39" s="34"/>
      <c r="AL39" s="34"/>
      <c r="AM39" s="347"/>
      <c r="AN39" s="1301">
        <v>75.599999999999994</v>
      </c>
      <c r="AO39" s="8"/>
      <c r="AP39" s="38"/>
      <c r="AQ39" s="528"/>
      <c r="AR39" s="531"/>
      <c r="AS39" s="531"/>
      <c r="AT39" s="531"/>
      <c r="AU39" s="335"/>
      <c r="AV39" s="1280"/>
      <c r="AW39" s="1121"/>
      <c r="AX39" s="1121"/>
      <c r="AY39" s="1047"/>
      <c r="AZ39" s="1047"/>
      <c r="BA39" s="1047"/>
      <c r="BB39" s="1047"/>
      <c r="BC39" s="1121"/>
      <c r="BD39" s="1121"/>
      <c r="BF39" s="1279"/>
      <c r="BG39" s="8"/>
    </row>
    <row r="40" spans="1:59" ht="16.149999999999999" customHeight="1" x14ac:dyDescent="0.25">
      <c r="A40" s="533">
        <f t="shared" si="0"/>
        <v>36</v>
      </c>
      <c r="B40" s="81">
        <v>189</v>
      </c>
      <c r="C40" s="188">
        <f t="shared" si="2"/>
        <v>33</v>
      </c>
      <c r="D40" s="73"/>
      <c r="E40" s="75"/>
      <c r="F40" s="139" t="s">
        <v>143</v>
      </c>
      <c r="G40" s="55" t="s">
        <v>144</v>
      </c>
      <c r="H40" s="1185" t="str">
        <f t="shared" si="3"/>
        <v xml:space="preserve"> </v>
      </c>
      <c r="I40" s="132" t="s">
        <v>145</v>
      </c>
      <c r="J40" s="813" t="s">
        <v>146</v>
      </c>
      <c r="K40" s="135" t="s">
        <v>29</v>
      </c>
      <c r="L40" s="34"/>
      <c r="M40" s="33"/>
      <c r="N40" s="34"/>
      <c r="O40" s="33" t="s">
        <v>32</v>
      </c>
      <c r="P40" s="33"/>
      <c r="Q40" s="37">
        <v>240</v>
      </c>
      <c r="R40" s="35"/>
      <c r="S40" s="35"/>
      <c r="T40" s="36"/>
      <c r="U40" s="36"/>
      <c r="V40" s="37" t="s">
        <v>18</v>
      </c>
      <c r="W40" s="311">
        <v>9</v>
      </c>
      <c r="X40" s="178"/>
      <c r="Y40" s="70"/>
      <c r="Z40" s="37">
        <v>40</v>
      </c>
      <c r="AA40" s="68">
        <v>60</v>
      </c>
      <c r="AB40" s="210"/>
      <c r="AC40" s="135"/>
      <c r="AD40" s="34"/>
      <c r="AE40" s="34"/>
      <c r="AF40" s="34" t="s">
        <v>32</v>
      </c>
      <c r="AG40" s="34"/>
      <c r="AH40" s="34"/>
      <c r="AI40" s="34"/>
      <c r="AJ40" s="34"/>
      <c r="AK40" s="34"/>
      <c r="AL40" s="34"/>
      <c r="AM40" s="347"/>
      <c r="AN40" s="1301" t="s">
        <v>1285</v>
      </c>
      <c r="AO40" s="8"/>
      <c r="AP40" s="38"/>
      <c r="AQ40" s="528"/>
      <c r="AR40" s="531"/>
      <c r="AS40" s="531"/>
      <c r="AT40" s="531"/>
      <c r="AU40" s="335"/>
      <c r="AV40" s="1280"/>
      <c r="AW40" s="1121"/>
      <c r="AX40" s="1121"/>
      <c r="AY40" s="1047"/>
      <c r="AZ40" s="1047"/>
      <c r="BA40" s="1047"/>
      <c r="BB40" s="1047"/>
      <c r="BC40" s="1121"/>
      <c r="BD40" s="1121"/>
      <c r="BF40" s="1279"/>
      <c r="BG40" s="8"/>
    </row>
    <row r="41" spans="1:59" ht="16.149999999999999" customHeight="1" x14ac:dyDescent="0.25">
      <c r="A41" s="533">
        <f t="shared" si="0"/>
        <v>37</v>
      </c>
      <c r="B41" s="81">
        <v>191</v>
      </c>
      <c r="C41" s="188">
        <f t="shared" si="2"/>
        <v>34</v>
      </c>
      <c r="D41" s="73" t="s">
        <v>29</v>
      </c>
      <c r="E41" s="75" t="s">
        <v>29</v>
      </c>
      <c r="F41" s="139" t="s">
        <v>147</v>
      </c>
      <c r="G41" s="55" t="s">
        <v>148</v>
      </c>
      <c r="H41" s="1185" t="str">
        <f t="shared" si="3"/>
        <v xml:space="preserve"> </v>
      </c>
      <c r="I41" s="132" t="s">
        <v>628</v>
      </c>
      <c r="J41" s="793" t="s">
        <v>149</v>
      </c>
      <c r="K41" s="135" t="s">
        <v>29</v>
      </c>
      <c r="L41" s="34" t="s">
        <v>29</v>
      </c>
      <c r="M41" s="33" t="s">
        <v>29</v>
      </c>
      <c r="N41" s="34"/>
      <c r="O41" s="33" t="s">
        <v>32</v>
      </c>
      <c r="P41" s="33"/>
      <c r="Q41" s="37">
        <v>240</v>
      </c>
      <c r="R41" s="35"/>
      <c r="S41" s="35"/>
      <c r="T41" s="36"/>
      <c r="U41" s="36"/>
      <c r="V41" s="37" t="s">
        <v>18</v>
      </c>
      <c r="W41" s="311">
        <v>9</v>
      </c>
      <c r="X41" s="178"/>
      <c r="Y41" s="70"/>
      <c r="Z41" s="37">
        <v>40</v>
      </c>
      <c r="AA41" s="68">
        <v>60</v>
      </c>
      <c r="AB41" s="210"/>
      <c r="AC41" s="135"/>
      <c r="AD41" s="34"/>
      <c r="AE41" s="34"/>
      <c r="AF41" s="34" t="s">
        <v>32</v>
      </c>
      <c r="AG41" s="34"/>
      <c r="AH41" s="34"/>
      <c r="AI41" s="34"/>
      <c r="AJ41" s="34"/>
      <c r="AK41" s="34"/>
      <c r="AL41" s="34"/>
      <c r="AM41" s="347">
        <v>14</v>
      </c>
      <c r="AN41" s="1301">
        <v>80.5</v>
      </c>
      <c r="AO41" s="8"/>
      <c r="AP41" s="38"/>
      <c r="AQ41" s="528"/>
      <c r="AR41" s="531"/>
      <c r="AS41" s="531"/>
      <c r="AT41" s="531"/>
      <c r="AU41" s="335"/>
      <c r="AV41" s="1280"/>
      <c r="AW41" s="1121"/>
      <c r="AX41" s="1121"/>
      <c r="AY41" s="1047"/>
      <c r="AZ41" s="1047"/>
      <c r="BA41" s="1047"/>
      <c r="BB41" s="1047"/>
      <c r="BC41" s="1121"/>
      <c r="BD41" s="1121"/>
      <c r="BF41" s="1279"/>
      <c r="BG41" s="8"/>
    </row>
    <row r="42" spans="1:59" ht="16.149999999999999" customHeight="1" x14ac:dyDescent="0.25">
      <c r="A42" s="533">
        <f t="shared" si="0"/>
        <v>38</v>
      </c>
      <c r="B42" s="81">
        <v>166</v>
      </c>
      <c r="C42" s="188">
        <f t="shared" si="2"/>
        <v>35</v>
      </c>
      <c r="D42" s="73" t="s">
        <v>29</v>
      </c>
      <c r="E42" s="75" t="s">
        <v>29</v>
      </c>
      <c r="F42" s="139" t="s">
        <v>150</v>
      </c>
      <c r="G42" s="55" t="s">
        <v>151</v>
      </c>
      <c r="H42" s="1185" t="str">
        <f>'DEGREE MARK SIMULATOR'!AI66</f>
        <v xml:space="preserve"> </v>
      </c>
      <c r="I42" s="132" t="s">
        <v>629</v>
      </c>
      <c r="J42" s="793" t="s">
        <v>152</v>
      </c>
      <c r="K42" s="135" t="s">
        <v>29</v>
      </c>
      <c r="L42" s="34" t="s">
        <v>29</v>
      </c>
      <c r="M42" s="33" t="s">
        <v>29</v>
      </c>
      <c r="N42" s="34"/>
      <c r="O42" s="33" t="s">
        <v>32</v>
      </c>
      <c r="P42" s="33"/>
      <c r="Q42" s="37">
        <v>240</v>
      </c>
      <c r="R42" s="35"/>
      <c r="S42" s="35"/>
      <c r="T42" s="36"/>
      <c r="U42" s="36"/>
      <c r="V42" s="37" t="s">
        <v>19</v>
      </c>
      <c r="W42" s="311">
        <v>10</v>
      </c>
      <c r="X42" s="178">
        <v>14</v>
      </c>
      <c r="Y42" s="70"/>
      <c r="Z42" s="37">
        <v>35</v>
      </c>
      <c r="AA42" s="68">
        <v>65</v>
      </c>
      <c r="AB42" s="210"/>
      <c r="AC42" s="135"/>
      <c r="AD42" s="34"/>
      <c r="AE42" s="34"/>
      <c r="AF42" s="34"/>
      <c r="AG42" s="34" t="s">
        <v>32</v>
      </c>
      <c r="AH42" s="34"/>
      <c r="AI42" s="34"/>
      <c r="AJ42" s="34"/>
      <c r="AK42" s="34"/>
      <c r="AL42" s="34"/>
      <c r="AM42" s="347">
        <v>1</v>
      </c>
      <c r="AN42" s="1301">
        <v>85</v>
      </c>
      <c r="AO42" s="8"/>
      <c r="AP42" s="38"/>
      <c r="AQ42" s="528"/>
      <c r="AR42" s="531"/>
      <c r="AS42" s="531"/>
      <c r="AT42" s="531"/>
      <c r="AU42" s="335"/>
      <c r="AV42" s="1280"/>
      <c r="AW42" s="1553"/>
      <c r="AX42" s="1553"/>
      <c r="AY42" s="1047"/>
      <c r="AZ42" s="1047"/>
      <c r="BA42" s="1047"/>
      <c r="BB42" s="1047"/>
      <c r="BC42" s="1553"/>
      <c r="BD42" s="1553"/>
      <c r="BF42" s="1279"/>
      <c r="BG42" s="8"/>
    </row>
    <row r="43" spans="1:59" ht="16.149999999999999" customHeight="1" x14ac:dyDescent="0.25">
      <c r="A43" s="533">
        <f t="shared" si="0"/>
        <v>39</v>
      </c>
      <c r="B43" s="81">
        <v>12</v>
      </c>
      <c r="C43" s="188">
        <f t="shared" si="2"/>
        <v>36</v>
      </c>
      <c r="D43" s="73" t="s">
        <v>29</v>
      </c>
      <c r="E43" s="75" t="s">
        <v>32</v>
      </c>
      <c r="F43" s="139" t="s">
        <v>153</v>
      </c>
      <c r="G43" s="55" t="s">
        <v>154</v>
      </c>
      <c r="H43" s="1185" t="str">
        <f>'DEGREE MARK SIMULATOR'!AI67</f>
        <v xml:space="preserve"> </v>
      </c>
      <c r="I43" s="132" t="s">
        <v>630</v>
      </c>
      <c r="J43" s="793" t="s">
        <v>155</v>
      </c>
      <c r="K43" s="135" t="s">
        <v>29</v>
      </c>
      <c r="L43" s="34" t="s">
        <v>29</v>
      </c>
      <c r="M43" s="33" t="s">
        <v>29</v>
      </c>
      <c r="N43" s="34"/>
      <c r="O43" s="33" t="s">
        <v>32</v>
      </c>
      <c r="P43" s="33"/>
      <c r="Q43" s="37">
        <v>240</v>
      </c>
      <c r="R43" s="35"/>
      <c r="S43" s="35"/>
      <c r="T43" s="36"/>
      <c r="U43" s="36"/>
      <c r="V43" s="37" t="s">
        <v>20</v>
      </c>
      <c r="W43" s="311">
        <v>11</v>
      </c>
      <c r="X43" s="178">
        <v>15</v>
      </c>
      <c r="Y43" s="70"/>
      <c r="Z43" s="37">
        <v>33</v>
      </c>
      <c r="AA43" s="68">
        <v>67</v>
      </c>
      <c r="AB43" s="210"/>
      <c r="AC43" s="135"/>
      <c r="AD43" s="34"/>
      <c r="AE43" s="34"/>
      <c r="AF43" s="34"/>
      <c r="AG43" s="34"/>
      <c r="AH43" s="34" t="s">
        <v>32</v>
      </c>
      <c r="AI43" s="34"/>
      <c r="AJ43" s="34"/>
      <c r="AK43" s="34"/>
      <c r="AL43" s="34"/>
      <c r="AM43" s="347"/>
      <c r="AN43" s="1301">
        <v>71.400000000000006</v>
      </c>
      <c r="AO43" s="8"/>
      <c r="AP43" s="38"/>
      <c r="AQ43" s="528"/>
      <c r="AR43" s="531"/>
      <c r="AS43" s="531"/>
      <c r="AT43" s="531"/>
      <c r="AU43" s="335"/>
      <c r="AV43" s="1280"/>
      <c r="AW43" s="1553"/>
      <c r="AX43" s="1553"/>
      <c r="AY43" s="1047"/>
      <c r="AZ43" s="1047"/>
      <c r="BA43" s="1047"/>
      <c r="BB43" s="1047"/>
      <c r="BC43" s="1553"/>
      <c r="BD43" s="1553"/>
      <c r="BF43" s="1279"/>
      <c r="BG43" s="8"/>
    </row>
    <row r="44" spans="1:59" ht="16.149999999999999" customHeight="1" x14ac:dyDescent="0.25">
      <c r="A44" s="533">
        <f t="shared" si="0"/>
        <v>40</v>
      </c>
      <c r="B44" s="81">
        <v>16</v>
      </c>
      <c r="C44" s="188">
        <f t="shared" si="2"/>
        <v>37</v>
      </c>
      <c r="D44" s="73"/>
      <c r="E44" s="75" t="s">
        <v>29</v>
      </c>
      <c r="F44" s="139" t="s">
        <v>156</v>
      </c>
      <c r="G44" s="55" t="s">
        <v>157</v>
      </c>
      <c r="H44" s="1185" t="str">
        <f t="shared" ref="H44:H56" si="4">H43</f>
        <v xml:space="preserve"> </v>
      </c>
      <c r="I44" s="132" t="s">
        <v>639</v>
      </c>
      <c r="J44" s="793" t="s">
        <v>158</v>
      </c>
      <c r="K44" s="135" t="s">
        <v>29</v>
      </c>
      <c r="L44" s="34" t="s">
        <v>29</v>
      </c>
      <c r="M44" s="33"/>
      <c r="N44" s="34"/>
      <c r="O44" s="33" t="s">
        <v>32</v>
      </c>
      <c r="P44" s="33"/>
      <c r="Q44" s="37">
        <v>240</v>
      </c>
      <c r="R44" s="35"/>
      <c r="S44" s="35"/>
      <c r="T44" s="36"/>
      <c r="U44" s="36"/>
      <c r="V44" s="37" t="s">
        <v>20</v>
      </c>
      <c r="W44" s="311">
        <v>11</v>
      </c>
      <c r="X44" s="178"/>
      <c r="Y44" s="70"/>
      <c r="Z44" s="37">
        <v>33</v>
      </c>
      <c r="AA44" s="68">
        <v>67</v>
      </c>
      <c r="AB44" s="210"/>
      <c r="AC44" s="135"/>
      <c r="AD44" s="34"/>
      <c r="AE44" s="34"/>
      <c r="AF44" s="34"/>
      <c r="AG44" s="34"/>
      <c r="AH44" s="34" t="s">
        <v>32</v>
      </c>
      <c r="AI44" s="34"/>
      <c r="AJ44" s="34"/>
      <c r="AK44" s="34"/>
      <c r="AL44" s="34"/>
      <c r="AM44" s="347"/>
      <c r="AN44" s="1301" t="s">
        <v>1285</v>
      </c>
      <c r="AO44" s="8"/>
      <c r="AP44" s="38"/>
      <c r="AQ44" s="528"/>
      <c r="AR44" s="531"/>
      <c r="AS44" s="531"/>
      <c r="AT44" s="531"/>
      <c r="AU44" s="335"/>
      <c r="AV44" s="1280"/>
      <c r="AW44" s="1121"/>
      <c r="AX44" s="1121"/>
      <c r="AY44" s="1047"/>
      <c r="AZ44" s="1047"/>
      <c r="BA44" s="1047"/>
      <c r="BB44" s="1047"/>
      <c r="BC44" s="1121"/>
      <c r="BD44" s="1121"/>
      <c r="BF44" s="1279"/>
      <c r="BG44" s="8"/>
    </row>
    <row r="45" spans="1:59" ht="16.149999999999999" customHeight="1" x14ac:dyDescent="0.25">
      <c r="A45" s="533">
        <f t="shared" si="0"/>
        <v>41</v>
      </c>
      <c r="B45" s="81">
        <v>28</v>
      </c>
      <c r="C45" s="188">
        <f t="shared" si="2"/>
        <v>38</v>
      </c>
      <c r="D45" s="73" t="s">
        <v>29</v>
      </c>
      <c r="E45" s="75" t="s">
        <v>29</v>
      </c>
      <c r="F45" s="139" t="s">
        <v>159</v>
      </c>
      <c r="G45" s="55" t="s">
        <v>160</v>
      </c>
      <c r="H45" s="1185" t="str">
        <f t="shared" si="4"/>
        <v xml:space="preserve"> </v>
      </c>
      <c r="I45" s="132" t="s">
        <v>631</v>
      </c>
      <c r="J45" s="793" t="s">
        <v>161</v>
      </c>
      <c r="K45" s="135" t="s">
        <v>29</v>
      </c>
      <c r="L45" s="34" t="s">
        <v>29</v>
      </c>
      <c r="M45" s="33" t="s">
        <v>32</v>
      </c>
      <c r="N45" s="34"/>
      <c r="O45" s="33" t="s">
        <v>32</v>
      </c>
      <c r="P45" s="33"/>
      <c r="Q45" s="37">
        <v>240</v>
      </c>
      <c r="R45" s="35"/>
      <c r="S45" s="35"/>
      <c r="T45" s="36"/>
      <c r="U45" s="36"/>
      <c r="V45" s="37" t="s">
        <v>20</v>
      </c>
      <c r="W45" s="311">
        <v>11</v>
      </c>
      <c r="X45" s="178"/>
      <c r="Y45" s="70"/>
      <c r="Z45" s="37">
        <v>33</v>
      </c>
      <c r="AA45" s="68">
        <v>67</v>
      </c>
      <c r="AB45" s="210"/>
      <c r="AC45" s="135"/>
      <c r="AD45" s="34"/>
      <c r="AE45" s="34"/>
      <c r="AF45" s="34"/>
      <c r="AG45" s="34"/>
      <c r="AH45" s="34" t="s">
        <v>32</v>
      </c>
      <c r="AI45" s="34"/>
      <c r="AJ45" s="34"/>
      <c r="AK45" s="34"/>
      <c r="AL45" s="34"/>
      <c r="AM45" s="347"/>
      <c r="AN45" s="1301">
        <v>75.7</v>
      </c>
      <c r="AO45" s="8"/>
      <c r="AP45" s="38"/>
      <c r="AQ45" s="528"/>
      <c r="AR45" s="531"/>
      <c r="AS45" s="531"/>
      <c r="AT45" s="531"/>
      <c r="AU45" s="335"/>
      <c r="AV45" s="1280"/>
      <c r="AW45" s="1121"/>
      <c r="AX45" s="1121"/>
      <c r="AY45" s="1047"/>
      <c r="AZ45" s="1047"/>
      <c r="BA45" s="1047"/>
      <c r="BB45" s="1047"/>
      <c r="BC45" s="1121"/>
      <c r="BD45" s="1121"/>
      <c r="BF45" s="1279"/>
      <c r="BG45" s="8"/>
    </row>
    <row r="46" spans="1:59" ht="16.149999999999999" customHeight="1" x14ac:dyDescent="0.25">
      <c r="A46" s="533">
        <f t="shared" si="0"/>
        <v>42</v>
      </c>
      <c r="B46" s="81">
        <v>30</v>
      </c>
      <c r="C46" s="188">
        <f t="shared" si="2"/>
        <v>39</v>
      </c>
      <c r="D46" s="73" t="s">
        <v>29</v>
      </c>
      <c r="E46" s="75" t="s">
        <v>29</v>
      </c>
      <c r="F46" s="190" t="s">
        <v>1271</v>
      </c>
      <c r="G46" s="55" t="s">
        <v>162</v>
      </c>
      <c r="H46" s="1185" t="str">
        <f t="shared" si="4"/>
        <v xml:space="preserve"> </v>
      </c>
      <c r="I46" s="132" t="s">
        <v>632</v>
      </c>
      <c r="J46" s="793" t="s">
        <v>163</v>
      </c>
      <c r="K46" s="135" t="s">
        <v>29</v>
      </c>
      <c r="L46" s="34" t="s">
        <v>29</v>
      </c>
      <c r="M46" s="33" t="s">
        <v>29</v>
      </c>
      <c r="N46" s="34"/>
      <c r="O46" s="33" t="s">
        <v>32</v>
      </c>
      <c r="P46" s="33"/>
      <c r="Q46" s="37">
        <v>240</v>
      </c>
      <c r="R46" s="35"/>
      <c r="S46" s="35"/>
      <c r="T46" s="36"/>
      <c r="U46" s="36"/>
      <c r="V46" s="37" t="s">
        <v>20</v>
      </c>
      <c r="W46" s="311">
        <v>11</v>
      </c>
      <c r="X46" s="178"/>
      <c r="Y46" s="70"/>
      <c r="Z46" s="37">
        <v>33</v>
      </c>
      <c r="AA46" s="68">
        <v>67</v>
      </c>
      <c r="AB46" s="210"/>
      <c r="AC46" s="135"/>
      <c r="AD46" s="34"/>
      <c r="AE46" s="34"/>
      <c r="AF46" s="34"/>
      <c r="AG46" s="34"/>
      <c r="AH46" s="34" t="s">
        <v>32</v>
      </c>
      <c r="AI46" s="34"/>
      <c r="AJ46" s="34"/>
      <c r="AK46" s="34"/>
      <c r="AL46" s="34"/>
      <c r="AM46" s="347"/>
      <c r="AN46" s="1301">
        <v>60.4</v>
      </c>
      <c r="AO46" s="8"/>
      <c r="AP46" s="38"/>
      <c r="AQ46" s="528"/>
      <c r="AR46" s="531"/>
      <c r="AS46" s="531"/>
      <c r="AT46" s="531"/>
      <c r="AU46" s="335"/>
      <c r="AV46" s="1280"/>
      <c r="AW46" s="1121"/>
      <c r="AX46" s="1121"/>
      <c r="AY46" s="1047"/>
      <c r="AZ46" s="1047"/>
      <c r="BA46" s="1047"/>
      <c r="BB46" s="1047"/>
      <c r="BC46" s="1121"/>
      <c r="BD46" s="1121"/>
      <c r="BF46" s="1279"/>
      <c r="BG46" s="8"/>
    </row>
    <row r="47" spans="1:59" ht="16.149999999999999" customHeight="1" x14ac:dyDescent="0.25">
      <c r="A47" s="533">
        <f t="shared" si="0"/>
        <v>43</v>
      </c>
      <c r="B47" s="81">
        <v>56</v>
      </c>
      <c r="C47" s="188">
        <f t="shared" si="2"/>
        <v>40</v>
      </c>
      <c r="D47" s="73" t="s">
        <v>29</v>
      </c>
      <c r="E47" s="75" t="s">
        <v>29</v>
      </c>
      <c r="F47" s="139" t="s">
        <v>164</v>
      </c>
      <c r="G47" s="55" t="s">
        <v>165</v>
      </c>
      <c r="H47" s="1185" t="str">
        <f t="shared" si="4"/>
        <v xml:space="preserve"> </v>
      </c>
      <c r="I47" s="132" t="s">
        <v>633</v>
      </c>
      <c r="J47" s="793" t="s">
        <v>166</v>
      </c>
      <c r="K47" s="135" t="s">
        <v>29</v>
      </c>
      <c r="L47" s="34" t="s">
        <v>29</v>
      </c>
      <c r="M47" s="33" t="s">
        <v>29</v>
      </c>
      <c r="N47" s="34"/>
      <c r="O47" s="33" t="s">
        <v>32</v>
      </c>
      <c r="P47" s="33"/>
      <c r="Q47" s="37">
        <v>240</v>
      </c>
      <c r="R47" s="35"/>
      <c r="S47" s="35"/>
      <c r="T47" s="36"/>
      <c r="U47" s="36"/>
      <c r="V47" s="37" t="s">
        <v>20</v>
      </c>
      <c r="W47" s="311">
        <v>11</v>
      </c>
      <c r="X47" s="178"/>
      <c r="Y47" s="70"/>
      <c r="Z47" s="37">
        <v>33</v>
      </c>
      <c r="AA47" s="68">
        <v>67</v>
      </c>
      <c r="AB47" s="210"/>
      <c r="AC47" s="135"/>
      <c r="AD47" s="34"/>
      <c r="AE47" s="34"/>
      <c r="AF47" s="34"/>
      <c r="AG47" s="34"/>
      <c r="AH47" s="34" t="s">
        <v>32</v>
      </c>
      <c r="AI47" s="34"/>
      <c r="AJ47" s="34"/>
      <c r="AK47" s="34"/>
      <c r="AL47" s="34"/>
      <c r="AM47" s="347"/>
      <c r="AN47" s="1301">
        <v>87.9</v>
      </c>
      <c r="AO47" s="8"/>
      <c r="AP47" s="38"/>
      <c r="AQ47" s="528"/>
      <c r="AR47" s="531"/>
      <c r="AS47" s="531"/>
      <c r="AT47" s="531"/>
      <c r="AU47" s="335"/>
      <c r="AV47" s="1280"/>
      <c r="AW47" s="1121"/>
      <c r="AX47" s="1121"/>
      <c r="AY47" s="1047"/>
      <c r="AZ47" s="1047"/>
      <c r="BA47" s="1047"/>
      <c r="BB47" s="1047"/>
      <c r="BC47" s="1121"/>
      <c r="BD47" s="1121"/>
      <c r="BF47" s="1283"/>
      <c r="BG47" s="8"/>
    </row>
    <row r="48" spans="1:59" ht="16.149999999999999" customHeight="1" x14ac:dyDescent="0.25">
      <c r="A48" s="533">
        <f t="shared" si="0"/>
        <v>44</v>
      </c>
      <c r="B48" s="81">
        <v>58</v>
      </c>
      <c r="C48" s="188">
        <f t="shared" si="2"/>
        <v>41</v>
      </c>
      <c r="D48" s="73" t="s">
        <v>29</v>
      </c>
      <c r="E48" s="75" t="s">
        <v>29</v>
      </c>
      <c r="F48" s="139" t="s">
        <v>167</v>
      </c>
      <c r="G48" s="55" t="s">
        <v>168</v>
      </c>
      <c r="H48" s="1185" t="str">
        <f t="shared" si="4"/>
        <v xml:space="preserve"> </v>
      </c>
      <c r="I48" s="132" t="s">
        <v>634</v>
      </c>
      <c r="J48" s="793" t="s">
        <v>169</v>
      </c>
      <c r="K48" s="135" t="s">
        <v>29</v>
      </c>
      <c r="L48" s="34" t="s">
        <v>29</v>
      </c>
      <c r="M48" s="33" t="s">
        <v>29</v>
      </c>
      <c r="N48" s="34"/>
      <c r="O48" s="33" t="s">
        <v>32</v>
      </c>
      <c r="P48" s="33"/>
      <c r="Q48" s="37">
        <v>240</v>
      </c>
      <c r="R48" s="35"/>
      <c r="S48" s="35"/>
      <c r="T48" s="36"/>
      <c r="U48" s="36"/>
      <c r="V48" s="37" t="s">
        <v>20</v>
      </c>
      <c r="W48" s="311">
        <v>11</v>
      </c>
      <c r="X48" s="178"/>
      <c r="Y48" s="70"/>
      <c r="Z48" s="37">
        <v>33</v>
      </c>
      <c r="AA48" s="68">
        <v>67</v>
      </c>
      <c r="AB48" s="210"/>
      <c r="AC48" s="135"/>
      <c r="AD48" s="34"/>
      <c r="AE48" s="34"/>
      <c r="AF48" s="34"/>
      <c r="AG48" s="34"/>
      <c r="AH48" s="34" t="s">
        <v>32</v>
      </c>
      <c r="AI48" s="34"/>
      <c r="AJ48" s="34"/>
      <c r="AK48" s="34"/>
      <c r="AL48" s="34"/>
      <c r="AM48" s="347"/>
      <c r="AN48" s="1301">
        <v>78</v>
      </c>
      <c r="AO48" s="8"/>
      <c r="AP48" s="38"/>
      <c r="AQ48" s="528"/>
      <c r="AR48" s="531"/>
      <c r="AS48" s="531"/>
      <c r="AT48" s="531"/>
      <c r="AU48" s="335"/>
      <c r="AV48" s="1280"/>
      <c r="AW48" s="1121"/>
      <c r="AX48" s="1121"/>
      <c r="AY48" s="1047"/>
      <c r="AZ48" s="1047"/>
      <c r="BA48" s="1047"/>
      <c r="BB48" s="1047"/>
      <c r="BC48" s="1121"/>
      <c r="BD48" s="1121"/>
      <c r="BF48" s="1279"/>
      <c r="BG48" s="8"/>
    </row>
    <row r="49" spans="1:59" ht="16.149999999999999" customHeight="1" x14ac:dyDescent="0.25">
      <c r="A49" s="533">
        <f t="shared" si="0"/>
        <v>45</v>
      </c>
      <c r="B49" s="81">
        <v>81</v>
      </c>
      <c r="C49" s="188">
        <f t="shared" si="2"/>
        <v>42</v>
      </c>
      <c r="D49" s="73" t="s">
        <v>29</v>
      </c>
      <c r="E49" s="75" t="s">
        <v>29</v>
      </c>
      <c r="F49" s="139" t="s">
        <v>170</v>
      </c>
      <c r="G49" s="55" t="s">
        <v>171</v>
      </c>
      <c r="H49" s="1185" t="str">
        <f t="shared" si="4"/>
        <v xml:space="preserve"> </v>
      </c>
      <c r="I49" s="132" t="s">
        <v>635</v>
      </c>
      <c r="J49" s="793" t="s">
        <v>172</v>
      </c>
      <c r="K49" s="135" t="s">
        <v>29</v>
      </c>
      <c r="L49" s="34" t="s">
        <v>29</v>
      </c>
      <c r="M49" s="33" t="s">
        <v>29</v>
      </c>
      <c r="N49" s="34"/>
      <c r="O49" s="33" t="s">
        <v>32</v>
      </c>
      <c r="P49" s="33"/>
      <c r="Q49" s="37">
        <v>240</v>
      </c>
      <c r="R49" s="35"/>
      <c r="S49" s="35"/>
      <c r="T49" s="36"/>
      <c r="U49" s="36"/>
      <c r="V49" s="37" t="s">
        <v>20</v>
      </c>
      <c r="W49" s="311">
        <v>11</v>
      </c>
      <c r="X49" s="178"/>
      <c r="Y49" s="70"/>
      <c r="Z49" s="37">
        <v>33</v>
      </c>
      <c r="AA49" s="68">
        <v>67</v>
      </c>
      <c r="AB49" s="210"/>
      <c r="AC49" s="135"/>
      <c r="AD49" s="34"/>
      <c r="AE49" s="34"/>
      <c r="AF49" s="34"/>
      <c r="AG49" s="34"/>
      <c r="AH49" s="34" t="s">
        <v>32</v>
      </c>
      <c r="AI49" s="34"/>
      <c r="AJ49" s="34"/>
      <c r="AK49" s="34"/>
      <c r="AL49" s="34"/>
      <c r="AM49" s="347"/>
      <c r="AN49" s="1301">
        <v>74.2</v>
      </c>
      <c r="AO49" s="8"/>
      <c r="AP49" s="38"/>
      <c r="AQ49" s="528"/>
      <c r="AR49" s="531"/>
      <c r="AS49" s="531"/>
      <c r="AT49" s="531"/>
      <c r="AU49" s="335"/>
      <c r="AV49" s="1280"/>
      <c r="AW49" s="1121"/>
      <c r="AX49" s="1121"/>
      <c r="AY49" s="1047"/>
      <c r="AZ49" s="1047"/>
      <c r="BA49" s="1047"/>
      <c r="BB49" s="1047"/>
      <c r="BC49" s="1121"/>
      <c r="BD49" s="1121"/>
      <c r="BF49" s="1279"/>
      <c r="BG49" s="8"/>
    </row>
    <row r="50" spans="1:59" ht="16.149999999999999" customHeight="1" x14ac:dyDescent="0.25">
      <c r="A50" s="533">
        <f t="shared" si="0"/>
        <v>46</v>
      </c>
      <c r="B50" s="81">
        <v>90</v>
      </c>
      <c r="C50" s="188">
        <f t="shared" si="2"/>
        <v>43</v>
      </c>
      <c r="D50" s="73" t="s">
        <v>29</v>
      </c>
      <c r="E50" s="75" t="s">
        <v>29</v>
      </c>
      <c r="F50" s="139" t="s">
        <v>173</v>
      </c>
      <c r="G50" s="55" t="s">
        <v>174</v>
      </c>
      <c r="H50" s="1185" t="str">
        <f t="shared" si="4"/>
        <v xml:space="preserve"> </v>
      </c>
      <c r="I50" s="132" t="s">
        <v>175</v>
      </c>
      <c r="J50" s="793" t="s">
        <v>176</v>
      </c>
      <c r="K50" s="135" t="s">
        <v>29</v>
      </c>
      <c r="L50" s="34" t="s">
        <v>29</v>
      </c>
      <c r="M50" s="33" t="s">
        <v>29</v>
      </c>
      <c r="N50" s="34"/>
      <c r="O50" s="33" t="s">
        <v>32</v>
      </c>
      <c r="P50" s="33"/>
      <c r="Q50" s="37">
        <v>240</v>
      </c>
      <c r="R50" s="35"/>
      <c r="S50" s="35"/>
      <c r="T50" s="36"/>
      <c r="U50" s="36"/>
      <c r="V50" s="37" t="s">
        <v>20</v>
      </c>
      <c r="W50" s="311">
        <v>11</v>
      </c>
      <c r="X50" s="178"/>
      <c r="Y50" s="70"/>
      <c r="Z50" s="37">
        <v>33</v>
      </c>
      <c r="AA50" s="68">
        <v>67</v>
      </c>
      <c r="AB50" s="210"/>
      <c r="AC50" s="135"/>
      <c r="AD50" s="34"/>
      <c r="AE50" s="34"/>
      <c r="AF50" s="34"/>
      <c r="AG50" s="34"/>
      <c r="AH50" s="34" t="s">
        <v>32</v>
      </c>
      <c r="AI50" s="34"/>
      <c r="AJ50" s="34"/>
      <c r="AK50" s="34"/>
      <c r="AL50" s="34"/>
      <c r="AM50" s="347"/>
      <c r="AN50" s="1301">
        <v>79.900000000000006</v>
      </c>
      <c r="AO50" s="8"/>
      <c r="AP50" s="38"/>
      <c r="AQ50" s="528"/>
      <c r="AR50" s="531"/>
      <c r="AS50" s="531"/>
      <c r="AT50" s="531"/>
      <c r="AU50" s="335"/>
      <c r="AV50" s="1280"/>
      <c r="AW50" s="1121"/>
      <c r="AX50" s="1121"/>
      <c r="AY50" s="1047"/>
      <c r="AZ50" s="1047"/>
      <c r="BA50" s="1047"/>
      <c r="BB50" s="1047"/>
      <c r="BC50" s="1121"/>
      <c r="BD50" s="1121"/>
      <c r="BG50" s="8"/>
    </row>
    <row r="51" spans="1:59" ht="16.149999999999999" customHeight="1" x14ac:dyDescent="0.25">
      <c r="A51" s="533">
        <f t="shared" si="0"/>
        <v>47</v>
      </c>
      <c r="B51" s="81">
        <v>92</v>
      </c>
      <c r="C51" s="188">
        <f t="shared" si="2"/>
        <v>44</v>
      </c>
      <c r="D51" s="73" t="s">
        <v>29</v>
      </c>
      <c r="E51" s="75" t="s">
        <v>29</v>
      </c>
      <c r="F51" s="139" t="s">
        <v>177</v>
      </c>
      <c r="G51" s="55" t="s">
        <v>178</v>
      </c>
      <c r="H51" s="1185" t="str">
        <f t="shared" si="4"/>
        <v xml:space="preserve"> </v>
      </c>
      <c r="I51" s="132" t="s">
        <v>640</v>
      </c>
      <c r="J51" s="793" t="s">
        <v>179</v>
      </c>
      <c r="K51" s="135" t="s">
        <v>29</v>
      </c>
      <c r="L51" s="34" t="s">
        <v>29</v>
      </c>
      <c r="M51" s="33" t="s">
        <v>29</v>
      </c>
      <c r="N51" s="34"/>
      <c r="O51" s="33" t="s">
        <v>32</v>
      </c>
      <c r="P51" s="33"/>
      <c r="Q51" s="37">
        <v>240</v>
      </c>
      <c r="R51" s="35"/>
      <c r="S51" s="35"/>
      <c r="T51" s="36"/>
      <c r="U51" s="36"/>
      <c r="V51" s="37" t="s">
        <v>20</v>
      </c>
      <c r="W51" s="311">
        <v>11</v>
      </c>
      <c r="X51" s="178"/>
      <c r="Y51" s="70"/>
      <c r="Z51" s="37">
        <v>33</v>
      </c>
      <c r="AA51" s="68">
        <v>67</v>
      </c>
      <c r="AB51" s="210"/>
      <c r="AC51" s="135"/>
      <c r="AD51" s="34"/>
      <c r="AE51" s="34"/>
      <c r="AF51" s="34"/>
      <c r="AG51" s="34"/>
      <c r="AH51" s="34" t="s">
        <v>32</v>
      </c>
      <c r="AI51" s="34"/>
      <c r="AJ51" s="34"/>
      <c r="AK51" s="34"/>
      <c r="AL51" s="34"/>
      <c r="AM51" s="347"/>
      <c r="AN51" s="1301">
        <v>78.400000000000006</v>
      </c>
      <c r="AO51" s="8"/>
      <c r="AP51" s="38"/>
      <c r="AQ51" s="528"/>
      <c r="AR51" s="531"/>
      <c r="AS51" s="531"/>
      <c r="AT51" s="531"/>
      <c r="AU51" s="335"/>
      <c r="AV51" s="1280"/>
      <c r="AW51" s="1121"/>
      <c r="AX51" s="1121"/>
      <c r="AY51" s="1047"/>
      <c r="AZ51" s="1047"/>
      <c r="BA51" s="1047"/>
      <c r="BB51" s="1047"/>
      <c r="BC51" s="1121"/>
      <c r="BD51" s="1121"/>
      <c r="BG51" s="8"/>
    </row>
    <row r="52" spans="1:59" ht="16.149999999999999" customHeight="1" x14ac:dyDescent="0.25">
      <c r="A52" s="533">
        <f t="shared" si="0"/>
        <v>48</v>
      </c>
      <c r="B52" s="81">
        <v>95</v>
      </c>
      <c r="C52" s="188">
        <f t="shared" si="2"/>
        <v>45</v>
      </c>
      <c r="D52" s="73" t="s">
        <v>29</v>
      </c>
      <c r="E52" s="75" t="s">
        <v>29</v>
      </c>
      <c r="F52" s="142" t="s">
        <v>966</v>
      </c>
      <c r="G52" s="141" t="s">
        <v>180</v>
      </c>
      <c r="H52" s="1185" t="str">
        <f t="shared" si="4"/>
        <v xml:space="preserve"> </v>
      </c>
      <c r="I52" s="132" t="s">
        <v>181</v>
      </c>
      <c r="J52" s="793" t="s">
        <v>182</v>
      </c>
      <c r="K52" s="135" t="s">
        <v>29</v>
      </c>
      <c r="L52" s="34" t="s">
        <v>32</v>
      </c>
      <c r="M52" s="33" t="s">
        <v>29</v>
      </c>
      <c r="N52" s="34"/>
      <c r="O52" s="33" t="s">
        <v>32</v>
      </c>
      <c r="P52" s="33"/>
      <c r="Q52" s="37">
        <v>240</v>
      </c>
      <c r="R52" s="35"/>
      <c r="S52" s="35"/>
      <c r="T52" s="36"/>
      <c r="U52" s="36"/>
      <c r="V52" s="37" t="s">
        <v>20</v>
      </c>
      <c r="W52" s="311">
        <v>11</v>
      </c>
      <c r="X52" s="178"/>
      <c r="Y52" s="70"/>
      <c r="Z52" s="37">
        <v>33</v>
      </c>
      <c r="AA52" s="68">
        <v>67</v>
      </c>
      <c r="AB52" s="210"/>
      <c r="AC52" s="135"/>
      <c r="AD52" s="34"/>
      <c r="AE52" s="34"/>
      <c r="AF52" s="34"/>
      <c r="AG52" s="34"/>
      <c r="AH52" s="34" t="s">
        <v>32</v>
      </c>
      <c r="AI52" s="34"/>
      <c r="AJ52" s="34"/>
      <c r="AK52" s="34"/>
      <c r="AL52" s="34"/>
      <c r="AM52" s="347"/>
      <c r="AN52" s="1301">
        <v>68</v>
      </c>
      <c r="AO52" s="8"/>
      <c r="AP52" s="38"/>
      <c r="AQ52" s="528"/>
      <c r="AR52" s="531"/>
      <c r="AS52" s="531"/>
      <c r="AT52" s="531"/>
      <c r="AU52" s="335"/>
      <c r="AV52" s="1280"/>
      <c r="AW52" s="1121"/>
      <c r="AX52" s="1121"/>
      <c r="AY52" s="1047"/>
      <c r="AZ52" s="1047"/>
      <c r="BA52" s="1047"/>
      <c r="BB52" s="1047"/>
      <c r="BC52" s="1121"/>
      <c r="BD52" s="1121"/>
      <c r="BG52" s="8"/>
    </row>
    <row r="53" spans="1:59" ht="16.149999999999999" customHeight="1" x14ac:dyDescent="0.25">
      <c r="A53" s="533">
        <f t="shared" si="0"/>
        <v>49</v>
      </c>
      <c r="B53" s="81">
        <v>133</v>
      </c>
      <c r="C53" s="188">
        <f t="shared" si="2"/>
        <v>46</v>
      </c>
      <c r="D53" s="73" t="s">
        <v>29</v>
      </c>
      <c r="E53" s="75" t="s">
        <v>29</v>
      </c>
      <c r="F53" s="139" t="s">
        <v>183</v>
      </c>
      <c r="G53" s="55" t="s">
        <v>184</v>
      </c>
      <c r="H53" s="1185" t="str">
        <f t="shared" si="4"/>
        <v xml:space="preserve"> </v>
      </c>
      <c r="I53" s="132" t="s">
        <v>185</v>
      </c>
      <c r="J53" s="793" t="s">
        <v>186</v>
      </c>
      <c r="K53" s="135" t="s">
        <v>29</v>
      </c>
      <c r="L53" s="34" t="s">
        <v>29</v>
      </c>
      <c r="M53" s="33" t="s">
        <v>29</v>
      </c>
      <c r="N53" s="34"/>
      <c r="O53" s="33" t="s">
        <v>32</v>
      </c>
      <c r="P53" s="33"/>
      <c r="Q53" s="37">
        <v>240</v>
      </c>
      <c r="R53" s="35"/>
      <c r="S53" s="35"/>
      <c r="T53" s="36"/>
      <c r="U53" s="36"/>
      <c r="V53" s="37" t="s">
        <v>20</v>
      </c>
      <c r="W53" s="311">
        <v>11</v>
      </c>
      <c r="X53" s="178"/>
      <c r="Y53" s="70"/>
      <c r="Z53" s="37">
        <v>33</v>
      </c>
      <c r="AA53" s="68">
        <v>67</v>
      </c>
      <c r="AB53" s="210"/>
      <c r="AC53" s="135"/>
      <c r="AD53" s="34"/>
      <c r="AE53" s="34"/>
      <c r="AF53" s="34"/>
      <c r="AG53" s="34"/>
      <c r="AH53" s="34" t="s">
        <v>32</v>
      </c>
      <c r="AI53" s="34"/>
      <c r="AJ53" s="34"/>
      <c r="AK53" s="34"/>
      <c r="AL53" s="34"/>
      <c r="AM53" s="347"/>
      <c r="AN53" s="1301">
        <v>81.7</v>
      </c>
      <c r="AO53" s="8"/>
      <c r="AP53" s="38"/>
      <c r="AQ53" s="528"/>
      <c r="AR53" s="531"/>
      <c r="AS53" s="531"/>
      <c r="AT53" s="531"/>
      <c r="AU53" s="335"/>
      <c r="AV53" s="1280"/>
      <c r="AW53" s="1121"/>
      <c r="AX53" s="1121"/>
      <c r="AY53" s="1047"/>
      <c r="AZ53" s="1047"/>
      <c r="BA53" s="1047"/>
      <c r="BB53" s="1047"/>
      <c r="BC53" s="1121"/>
      <c r="BD53" s="1121"/>
      <c r="BG53" s="8"/>
    </row>
    <row r="54" spans="1:59" ht="16.149999999999999" customHeight="1" x14ac:dyDescent="0.25">
      <c r="A54" s="533">
        <f t="shared" si="0"/>
        <v>50</v>
      </c>
      <c r="B54" s="81">
        <v>146</v>
      </c>
      <c r="C54" s="188">
        <f t="shared" si="2"/>
        <v>47</v>
      </c>
      <c r="D54" s="73"/>
      <c r="E54" s="75" t="s">
        <v>29</v>
      </c>
      <c r="F54" s="139" t="s">
        <v>187</v>
      </c>
      <c r="G54" s="55" t="s">
        <v>188</v>
      </c>
      <c r="H54" s="1185" t="str">
        <f t="shared" si="4"/>
        <v xml:space="preserve"> </v>
      </c>
      <c r="I54" s="132" t="s">
        <v>641</v>
      </c>
      <c r="J54" s="793" t="s">
        <v>189</v>
      </c>
      <c r="K54" s="135" t="s">
        <v>29</v>
      </c>
      <c r="L54" s="34" t="s">
        <v>29</v>
      </c>
      <c r="M54" s="33"/>
      <c r="N54" s="34"/>
      <c r="O54" s="33" t="s">
        <v>32</v>
      </c>
      <c r="P54" s="33"/>
      <c r="Q54" s="37">
        <v>240</v>
      </c>
      <c r="R54" s="35"/>
      <c r="S54" s="35"/>
      <c r="T54" s="36"/>
      <c r="U54" s="36"/>
      <c r="V54" s="37" t="s">
        <v>20</v>
      </c>
      <c r="W54" s="311">
        <v>11</v>
      </c>
      <c r="X54" s="178"/>
      <c r="Y54" s="70"/>
      <c r="Z54" s="37">
        <v>33</v>
      </c>
      <c r="AA54" s="68">
        <v>67</v>
      </c>
      <c r="AB54" s="210"/>
      <c r="AC54" s="135"/>
      <c r="AD54" s="34"/>
      <c r="AE54" s="34"/>
      <c r="AF54" s="34"/>
      <c r="AG54" s="34"/>
      <c r="AH54" s="34" t="s">
        <v>32</v>
      </c>
      <c r="AI54" s="34"/>
      <c r="AJ54" s="34"/>
      <c r="AK54" s="34"/>
      <c r="AL54" s="34"/>
      <c r="AM54" s="347"/>
      <c r="AN54" s="1301">
        <v>82.6</v>
      </c>
      <c r="AO54" s="8"/>
      <c r="AP54" s="38"/>
      <c r="AQ54" s="528"/>
      <c r="AR54" s="531"/>
      <c r="AS54" s="531"/>
      <c r="AT54" s="531"/>
      <c r="AU54" s="335"/>
      <c r="AV54" s="1280"/>
      <c r="AW54" s="1121"/>
      <c r="AX54" s="1121"/>
      <c r="AY54" s="1047"/>
      <c r="AZ54" s="1047"/>
      <c r="BA54" s="1047"/>
      <c r="BB54" s="1047"/>
      <c r="BC54" s="1121"/>
      <c r="BD54" s="1121"/>
      <c r="BG54" s="8"/>
    </row>
    <row r="55" spans="1:59" ht="16.149999999999999" customHeight="1" x14ac:dyDescent="0.25">
      <c r="A55" s="533">
        <f t="shared" si="0"/>
        <v>51</v>
      </c>
      <c r="B55" s="81">
        <v>152</v>
      </c>
      <c r="C55" s="188">
        <f t="shared" si="2"/>
        <v>48</v>
      </c>
      <c r="D55" s="73" t="s">
        <v>29</v>
      </c>
      <c r="E55" s="75" t="s">
        <v>29</v>
      </c>
      <c r="F55" s="139" t="s">
        <v>190</v>
      </c>
      <c r="G55" s="55" t="s">
        <v>191</v>
      </c>
      <c r="H55" s="1185" t="str">
        <f t="shared" si="4"/>
        <v xml:space="preserve"> </v>
      </c>
      <c r="I55" s="132" t="s">
        <v>192</v>
      </c>
      <c r="J55" s="793" t="s">
        <v>193</v>
      </c>
      <c r="K55" s="135" t="s">
        <v>29</v>
      </c>
      <c r="L55" s="34" t="s">
        <v>29</v>
      </c>
      <c r="M55" s="33" t="s">
        <v>29</v>
      </c>
      <c r="N55" s="34"/>
      <c r="O55" s="33" t="s">
        <v>32</v>
      </c>
      <c r="P55" s="33"/>
      <c r="Q55" s="37">
        <v>240</v>
      </c>
      <c r="R55" s="35"/>
      <c r="S55" s="35"/>
      <c r="T55" s="36"/>
      <c r="U55" s="36"/>
      <c r="V55" s="37" t="s">
        <v>20</v>
      </c>
      <c r="W55" s="311">
        <v>11</v>
      </c>
      <c r="X55" s="178"/>
      <c r="Y55" s="70"/>
      <c r="Z55" s="37">
        <v>33</v>
      </c>
      <c r="AA55" s="68">
        <v>67</v>
      </c>
      <c r="AB55" s="210"/>
      <c r="AC55" s="135"/>
      <c r="AD55" s="34"/>
      <c r="AE55" s="34"/>
      <c r="AF55" s="34"/>
      <c r="AG55" s="34"/>
      <c r="AH55" s="34" t="s">
        <v>32</v>
      </c>
      <c r="AI55" s="34"/>
      <c r="AJ55" s="34"/>
      <c r="AK55" s="34"/>
      <c r="AL55" s="34"/>
      <c r="AM55" s="347"/>
      <c r="AN55" s="1301">
        <v>81.5</v>
      </c>
      <c r="AO55" s="8"/>
      <c r="AP55" s="38"/>
      <c r="AQ55" s="528"/>
      <c r="AR55" s="531"/>
      <c r="AS55" s="531"/>
      <c r="AT55" s="531"/>
      <c r="AU55" s="335"/>
      <c r="AV55" s="1280"/>
      <c r="AW55" s="1121"/>
      <c r="AX55" s="1121"/>
      <c r="AY55" s="1047"/>
      <c r="AZ55" s="1047"/>
      <c r="BA55" s="1047"/>
      <c r="BB55" s="1047"/>
      <c r="BC55" s="1121"/>
      <c r="BD55" s="1121"/>
      <c r="BG55" s="8"/>
    </row>
    <row r="56" spans="1:59" ht="16.149999999999999" customHeight="1" x14ac:dyDescent="0.25">
      <c r="A56" s="533">
        <f t="shared" si="0"/>
        <v>52</v>
      </c>
      <c r="B56" s="81">
        <v>155</v>
      </c>
      <c r="C56" s="188">
        <f t="shared" si="2"/>
        <v>49</v>
      </c>
      <c r="D56" s="73" t="s">
        <v>29</v>
      </c>
      <c r="E56" s="75" t="s">
        <v>29</v>
      </c>
      <c r="F56" s="139" t="s">
        <v>194</v>
      </c>
      <c r="G56" s="55" t="s">
        <v>195</v>
      </c>
      <c r="H56" s="1185" t="str">
        <f t="shared" si="4"/>
        <v xml:space="preserve"> </v>
      </c>
      <c r="I56" s="132" t="s">
        <v>642</v>
      </c>
      <c r="J56" s="793" t="s">
        <v>196</v>
      </c>
      <c r="K56" s="135" t="s">
        <v>29</v>
      </c>
      <c r="L56" s="34" t="s">
        <v>29</v>
      </c>
      <c r="M56" s="33" t="s">
        <v>29</v>
      </c>
      <c r="N56" s="34"/>
      <c r="O56" s="33" t="s">
        <v>32</v>
      </c>
      <c r="P56" s="33"/>
      <c r="Q56" s="37">
        <v>240</v>
      </c>
      <c r="R56" s="35"/>
      <c r="S56" s="35"/>
      <c r="T56" s="36"/>
      <c r="U56" s="36"/>
      <c r="V56" s="37" t="s">
        <v>20</v>
      </c>
      <c r="W56" s="311">
        <v>11</v>
      </c>
      <c r="X56" s="178"/>
      <c r="Y56" s="70"/>
      <c r="Z56" s="37">
        <v>33</v>
      </c>
      <c r="AA56" s="68">
        <v>67</v>
      </c>
      <c r="AB56" s="210"/>
      <c r="AC56" s="135"/>
      <c r="AD56" s="34"/>
      <c r="AE56" s="34"/>
      <c r="AF56" s="34"/>
      <c r="AG56" s="34"/>
      <c r="AH56" s="34" t="s">
        <v>32</v>
      </c>
      <c r="AI56" s="34"/>
      <c r="AJ56" s="34"/>
      <c r="AK56" s="34"/>
      <c r="AL56" s="34"/>
      <c r="AM56" s="347">
        <v>14</v>
      </c>
      <c r="AN56" s="1301">
        <v>84.9</v>
      </c>
      <c r="AO56" s="8"/>
      <c r="AP56" s="38"/>
      <c r="AQ56" s="528"/>
      <c r="AR56" s="531"/>
      <c r="AS56" s="531"/>
      <c r="AT56" s="531"/>
      <c r="AU56" s="335"/>
      <c r="AV56" s="1280"/>
      <c r="AW56" s="1121"/>
      <c r="AX56" s="1121"/>
      <c r="AY56" s="1047"/>
      <c r="AZ56" s="1047"/>
      <c r="BA56" s="1047"/>
      <c r="BB56" s="1047"/>
      <c r="BC56" s="1121"/>
      <c r="BD56" s="1121"/>
      <c r="BG56" s="8"/>
    </row>
    <row r="57" spans="1:59" ht="16.149999999999999" customHeight="1" x14ac:dyDescent="0.25">
      <c r="A57" s="533">
        <f t="shared" si="0"/>
        <v>53</v>
      </c>
      <c r="B57" s="81">
        <v>13</v>
      </c>
      <c r="C57" s="188">
        <f t="shared" si="2"/>
        <v>50</v>
      </c>
      <c r="D57" s="73" t="s">
        <v>29</v>
      </c>
      <c r="E57" s="75" t="s">
        <v>29</v>
      </c>
      <c r="F57" s="139" t="s">
        <v>197</v>
      </c>
      <c r="G57" s="55" t="s">
        <v>198</v>
      </c>
      <c r="H57" s="1185" t="str">
        <f>'DEGREE MARK SIMULATOR'!AI68</f>
        <v xml:space="preserve"> </v>
      </c>
      <c r="I57" s="132" t="s">
        <v>643</v>
      </c>
      <c r="J57" s="814" t="s">
        <v>199</v>
      </c>
      <c r="K57" s="135" t="s">
        <v>29</v>
      </c>
      <c r="L57" s="34" t="s">
        <v>29</v>
      </c>
      <c r="M57" s="33" t="s">
        <v>29</v>
      </c>
      <c r="N57" s="34"/>
      <c r="O57" s="33" t="s">
        <v>32</v>
      </c>
      <c r="P57" s="33"/>
      <c r="Q57" s="37">
        <v>240</v>
      </c>
      <c r="R57" s="35"/>
      <c r="S57" s="35"/>
      <c r="T57" s="36"/>
      <c r="U57" s="36"/>
      <c r="V57" s="37" t="s">
        <v>21</v>
      </c>
      <c r="W57" s="311">
        <v>12</v>
      </c>
      <c r="X57" s="178">
        <v>16</v>
      </c>
      <c r="Y57" s="70"/>
      <c r="Z57" s="37">
        <v>32</v>
      </c>
      <c r="AA57" s="68">
        <v>68</v>
      </c>
      <c r="AB57" s="210"/>
      <c r="AC57" s="135"/>
      <c r="AD57" s="34"/>
      <c r="AE57" s="34"/>
      <c r="AF57" s="34"/>
      <c r="AG57" s="34"/>
      <c r="AH57" s="34"/>
      <c r="AI57" s="34" t="s">
        <v>32</v>
      </c>
      <c r="AJ57" s="34"/>
      <c r="AK57" s="34"/>
      <c r="AL57" s="34"/>
      <c r="AM57" s="347">
        <v>1</v>
      </c>
      <c r="AN57" s="1301">
        <v>88.3</v>
      </c>
      <c r="AO57" s="8"/>
      <c r="AP57" s="38"/>
      <c r="AQ57" s="528"/>
      <c r="AR57" s="531"/>
      <c r="AS57" s="531"/>
      <c r="AT57" s="531"/>
      <c r="AU57" s="335"/>
      <c r="AV57" s="1280"/>
      <c r="AW57" s="1553"/>
      <c r="AX57" s="1553"/>
      <c r="AY57" s="1047"/>
      <c r="AZ57" s="1047"/>
      <c r="BA57" s="1047"/>
      <c r="BB57" s="1047"/>
      <c r="BC57" s="1553"/>
      <c r="BD57" s="1553"/>
      <c r="BG57" s="8"/>
    </row>
    <row r="58" spans="1:59" ht="16.149999999999999" customHeight="1" x14ac:dyDescent="0.25">
      <c r="A58" s="533">
        <f t="shared" si="0"/>
        <v>54</v>
      </c>
      <c r="B58" s="81">
        <v>6</v>
      </c>
      <c r="C58" s="188">
        <f t="shared" si="2"/>
        <v>51</v>
      </c>
      <c r="D58" s="73"/>
      <c r="E58" s="75"/>
      <c r="F58" s="139" t="s">
        <v>200</v>
      </c>
      <c r="G58" s="55" t="s">
        <v>201</v>
      </c>
      <c r="H58" s="1185" t="str">
        <f t="shared" ref="H58:H62" si="5">H59</f>
        <v xml:space="preserve"> </v>
      </c>
      <c r="I58" s="132" t="s">
        <v>202</v>
      </c>
      <c r="J58" s="813" t="s">
        <v>203</v>
      </c>
      <c r="K58" s="135" t="s">
        <v>29</v>
      </c>
      <c r="L58" s="34"/>
      <c r="M58" s="33"/>
      <c r="N58" s="34"/>
      <c r="O58" s="33" t="s">
        <v>32</v>
      </c>
      <c r="P58" s="33"/>
      <c r="Q58" s="37">
        <v>240</v>
      </c>
      <c r="R58" s="35"/>
      <c r="S58" s="35"/>
      <c r="T58" s="36"/>
      <c r="U58" s="36"/>
      <c r="V58" s="37" t="s">
        <v>22</v>
      </c>
      <c r="W58" s="311">
        <v>13</v>
      </c>
      <c r="X58" s="178">
        <v>17</v>
      </c>
      <c r="Y58" s="70"/>
      <c r="Z58" s="37">
        <v>30</v>
      </c>
      <c r="AA58" s="68">
        <v>70</v>
      </c>
      <c r="AB58" s="210"/>
      <c r="AC58" s="135"/>
      <c r="AD58" s="34"/>
      <c r="AE58" s="34"/>
      <c r="AF58" s="34"/>
      <c r="AG58" s="34"/>
      <c r="AH58" s="34"/>
      <c r="AI58" s="34"/>
      <c r="AJ58" s="34" t="s">
        <v>32</v>
      </c>
      <c r="AK58" s="34"/>
      <c r="AL58" s="34"/>
      <c r="AM58" s="347"/>
      <c r="AN58" s="1301" t="s">
        <v>1285</v>
      </c>
      <c r="AO58" s="8"/>
      <c r="AP58" s="38"/>
      <c r="BG58" s="8"/>
    </row>
    <row r="59" spans="1:59" ht="16.149999999999999" customHeight="1" x14ac:dyDescent="0.25">
      <c r="A59" s="533">
        <f t="shared" si="0"/>
        <v>55</v>
      </c>
      <c r="B59" s="81">
        <v>23</v>
      </c>
      <c r="C59" s="188">
        <f t="shared" si="2"/>
        <v>52</v>
      </c>
      <c r="D59" s="73" t="s">
        <v>29</v>
      </c>
      <c r="E59" s="75" t="s">
        <v>29</v>
      </c>
      <c r="F59" s="139" t="s">
        <v>204</v>
      </c>
      <c r="G59" s="55" t="s">
        <v>205</v>
      </c>
      <c r="H59" s="1185" t="str">
        <f t="shared" si="5"/>
        <v xml:space="preserve"> </v>
      </c>
      <c r="I59" s="132" t="s">
        <v>644</v>
      </c>
      <c r="J59" s="793" t="s">
        <v>206</v>
      </c>
      <c r="K59" s="135" t="s">
        <v>29</v>
      </c>
      <c r="L59" s="34" t="s">
        <v>29</v>
      </c>
      <c r="M59" s="33" t="s">
        <v>29</v>
      </c>
      <c r="N59" s="34"/>
      <c r="O59" s="33" t="s">
        <v>32</v>
      </c>
      <c r="P59" s="33"/>
      <c r="Q59" s="37">
        <v>240</v>
      </c>
      <c r="R59" s="35"/>
      <c r="S59" s="35"/>
      <c r="T59" s="36"/>
      <c r="U59" s="36"/>
      <c r="V59" s="37" t="s">
        <v>22</v>
      </c>
      <c r="W59" s="311">
        <v>13</v>
      </c>
      <c r="X59" s="178"/>
      <c r="Y59" s="70"/>
      <c r="Z59" s="37">
        <v>30</v>
      </c>
      <c r="AA59" s="68">
        <v>70</v>
      </c>
      <c r="AB59" s="210"/>
      <c r="AC59" s="135"/>
      <c r="AD59" s="34"/>
      <c r="AE59" s="34"/>
      <c r="AF59" s="34"/>
      <c r="AG59" s="34"/>
      <c r="AH59" s="34"/>
      <c r="AI59" s="34"/>
      <c r="AJ59" s="34" t="s">
        <v>32</v>
      </c>
      <c r="AK59" s="34"/>
      <c r="AL59" s="34"/>
      <c r="AM59" s="347"/>
      <c r="AN59" s="1301">
        <v>76.400000000000006</v>
      </c>
      <c r="AO59" s="8"/>
      <c r="AP59" s="38"/>
      <c r="AQ59" s="528"/>
      <c r="AR59" s="531"/>
      <c r="AS59" s="531"/>
      <c r="AT59" s="531"/>
      <c r="AU59" s="335"/>
      <c r="AV59" s="1280"/>
      <c r="AW59" s="1121"/>
      <c r="AX59" s="1121"/>
      <c r="AY59" s="1047"/>
      <c r="AZ59" s="1047"/>
      <c r="BA59" s="1047"/>
      <c r="BB59" s="1047"/>
      <c r="BC59" s="1121"/>
      <c r="BD59" s="1121"/>
      <c r="BG59" s="8"/>
    </row>
    <row r="60" spans="1:59" ht="16.149999999999999" customHeight="1" x14ac:dyDescent="0.25">
      <c r="A60" s="533">
        <f t="shared" si="0"/>
        <v>56</v>
      </c>
      <c r="B60" s="81">
        <v>35</v>
      </c>
      <c r="C60" s="188">
        <f t="shared" si="2"/>
        <v>53</v>
      </c>
      <c r="D60" s="73" t="s">
        <v>29</v>
      </c>
      <c r="E60" s="75" t="s">
        <v>32</v>
      </c>
      <c r="F60" s="190" t="s">
        <v>967</v>
      </c>
      <c r="G60" s="55" t="s">
        <v>207</v>
      </c>
      <c r="H60" s="1185" t="str">
        <f t="shared" si="5"/>
        <v xml:space="preserve"> </v>
      </c>
      <c r="I60" s="132" t="s">
        <v>645</v>
      </c>
      <c r="J60" s="793" t="s">
        <v>208</v>
      </c>
      <c r="K60" s="135" t="s">
        <v>29</v>
      </c>
      <c r="L60" s="34" t="s">
        <v>32</v>
      </c>
      <c r="M60" s="33" t="s">
        <v>29</v>
      </c>
      <c r="N60" s="34"/>
      <c r="O60" s="33" t="s">
        <v>32</v>
      </c>
      <c r="P60" s="33"/>
      <c r="Q60" s="37">
        <v>240</v>
      </c>
      <c r="R60" s="35"/>
      <c r="S60" s="35"/>
      <c r="T60" s="36"/>
      <c r="U60" s="36"/>
      <c r="V60" s="37" t="s">
        <v>22</v>
      </c>
      <c r="W60" s="311">
        <v>13</v>
      </c>
      <c r="X60" s="178"/>
      <c r="Y60" s="70"/>
      <c r="Z60" s="37">
        <v>30</v>
      </c>
      <c r="AA60" s="68">
        <v>70</v>
      </c>
      <c r="AB60" s="210"/>
      <c r="AC60" s="135"/>
      <c r="AD60" s="34"/>
      <c r="AE60" s="34"/>
      <c r="AF60" s="34"/>
      <c r="AG60" s="34"/>
      <c r="AH60" s="34"/>
      <c r="AI60" s="34"/>
      <c r="AJ60" s="34" t="s">
        <v>32</v>
      </c>
      <c r="AK60" s="34"/>
      <c r="AL60" s="34"/>
      <c r="AM60" s="347"/>
      <c r="AN60" s="1301">
        <v>83.3</v>
      </c>
      <c r="AO60" s="8"/>
      <c r="AP60" s="38"/>
      <c r="AQ60" s="528"/>
      <c r="AR60" s="531"/>
      <c r="AS60" s="531"/>
      <c r="AT60" s="531"/>
      <c r="AU60" s="335"/>
      <c r="AV60" s="1280"/>
      <c r="AW60" s="1121"/>
      <c r="AX60" s="1121"/>
      <c r="AY60" s="1047"/>
      <c r="AZ60" s="1047"/>
      <c r="BA60" s="1047"/>
      <c r="BB60" s="1047"/>
      <c r="BC60" s="1121"/>
      <c r="BD60" s="1121"/>
      <c r="BG60" s="8"/>
    </row>
    <row r="61" spans="1:59" ht="16.149999999999999" customHeight="1" x14ac:dyDescent="0.25">
      <c r="A61" s="533">
        <f t="shared" si="0"/>
        <v>57</v>
      </c>
      <c r="B61" s="81">
        <v>68</v>
      </c>
      <c r="C61" s="188">
        <f t="shared" si="2"/>
        <v>54</v>
      </c>
      <c r="D61" s="73" t="s">
        <v>29</v>
      </c>
      <c r="E61" s="75" t="s">
        <v>29</v>
      </c>
      <c r="F61" s="139" t="s">
        <v>209</v>
      </c>
      <c r="G61" s="55" t="s">
        <v>210</v>
      </c>
      <c r="H61" s="1185" t="str">
        <f t="shared" si="5"/>
        <v xml:space="preserve"> </v>
      </c>
      <c r="I61" s="132" t="s">
        <v>646</v>
      </c>
      <c r="J61" s="793" t="s">
        <v>211</v>
      </c>
      <c r="K61" s="135" t="s">
        <v>29</v>
      </c>
      <c r="L61" s="34" t="s">
        <v>29</v>
      </c>
      <c r="M61" s="33" t="s">
        <v>29</v>
      </c>
      <c r="N61" s="34"/>
      <c r="O61" s="33" t="s">
        <v>32</v>
      </c>
      <c r="P61" s="33"/>
      <c r="Q61" s="37">
        <v>240</v>
      </c>
      <c r="R61" s="35"/>
      <c r="S61" s="35"/>
      <c r="T61" s="36"/>
      <c r="U61" s="36"/>
      <c r="V61" s="37" t="s">
        <v>22</v>
      </c>
      <c r="W61" s="311">
        <v>13</v>
      </c>
      <c r="X61" s="178"/>
      <c r="Y61" s="70"/>
      <c r="Z61" s="37">
        <v>30</v>
      </c>
      <c r="AA61" s="68">
        <v>70</v>
      </c>
      <c r="AB61" s="210"/>
      <c r="AC61" s="135"/>
      <c r="AD61" s="34"/>
      <c r="AE61" s="34"/>
      <c r="AF61" s="34"/>
      <c r="AG61" s="34"/>
      <c r="AH61" s="34"/>
      <c r="AI61" s="34"/>
      <c r="AJ61" s="34" t="s">
        <v>32</v>
      </c>
      <c r="AK61" s="34"/>
      <c r="AL61" s="34"/>
      <c r="AM61" s="347"/>
      <c r="AN61" s="1301">
        <v>74.400000000000006</v>
      </c>
      <c r="AO61" s="8"/>
      <c r="AP61" s="38"/>
      <c r="AQ61" s="528"/>
      <c r="AR61" s="531"/>
      <c r="AS61" s="531"/>
      <c r="AT61" s="531"/>
      <c r="AU61" s="335"/>
      <c r="AV61" s="1280"/>
      <c r="AW61" s="1121"/>
      <c r="AX61" s="1121"/>
      <c r="AY61" s="1047"/>
      <c r="AZ61" s="1047"/>
      <c r="BA61" s="1047"/>
      <c r="BB61" s="1047"/>
      <c r="BC61" s="1121"/>
      <c r="BD61" s="1121"/>
      <c r="BG61" s="8"/>
    </row>
    <row r="62" spans="1:59" ht="16.149999999999999" customHeight="1" x14ac:dyDescent="0.25">
      <c r="A62" s="533">
        <f t="shared" si="0"/>
        <v>58</v>
      </c>
      <c r="B62" s="81">
        <v>75</v>
      </c>
      <c r="C62" s="188">
        <f t="shared" si="2"/>
        <v>55</v>
      </c>
      <c r="D62" s="73" t="s">
        <v>29</v>
      </c>
      <c r="E62" s="75" t="s">
        <v>29</v>
      </c>
      <c r="F62" s="139" t="s">
        <v>212</v>
      </c>
      <c r="G62" s="55" t="s">
        <v>213</v>
      </c>
      <c r="H62" s="1185" t="str">
        <f t="shared" si="5"/>
        <v xml:space="preserve"> </v>
      </c>
      <c r="I62" s="132" t="s">
        <v>647</v>
      </c>
      <c r="J62" s="793" t="s">
        <v>214</v>
      </c>
      <c r="K62" s="135" t="s">
        <v>29</v>
      </c>
      <c r="L62" s="34" t="s">
        <v>29</v>
      </c>
      <c r="M62" s="33" t="s">
        <v>29</v>
      </c>
      <c r="N62" s="34"/>
      <c r="O62" s="33" t="s">
        <v>32</v>
      </c>
      <c r="P62" s="33"/>
      <c r="Q62" s="37">
        <v>240</v>
      </c>
      <c r="R62" s="35"/>
      <c r="S62" s="35"/>
      <c r="T62" s="36"/>
      <c r="U62" s="36"/>
      <c r="V62" s="37" t="s">
        <v>22</v>
      </c>
      <c r="W62" s="311">
        <v>13</v>
      </c>
      <c r="X62" s="178"/>
      <c r="Y62" s="70"/>
      <c r="Z62" s="37">
        <v>30</v>
      </c>
      <c r="AA62" s="68">
        <v>70</v>
      </c>
      <c r="AB62" s="210"/>
      <c r="AC62" s="135"/>
      <c r="AD62" s="34"/>
      <c r="AE62" s="34"/>
      <c r="AF62" s="34"/>
      <c r="AG62" s="34"/>
      <c r="AH62" s="34"/>
      <c r="AI62" s="34"/>
      <c r="AJ62" s="34" t="s">
        <v>32</v>
      </c>
      <c r="AK62" s="34"/>
      <c r="AL62" s="34"/>
      <c r="AM62" s="347"/>
      <c r="AN62" s="1301">
        <v>70.400000000000006</v>
      </c>
      <c r="AO62" s="8"/>
      <c r="AP62" s="38"/>
      <c r="AQ62" s="528"/>
      <c r="AR62" s="531"/>
      <c r="AS62" s="531"/>
      <c r="AT62" s="531"/>
      <c r="AU62" s="335"/>
      <c r="AV62" s="1280"/>
      <c r="AW62" s="1121"/>
      <c r="AX62" s="1121"/>
      <c r="AY62" s="1047"/>
      <c r="AZ62" s="1047"/>
      <c r="BA62" s="1047"/>
      <c r="BB62" s="1047"/>
      <c r="BC62" s="1121"/>
      <c r="BD62" s="1121"/>
      <c r="BG62" s="8"/>
    </row>
    <row r="63" spans="1:59" ht="16.149999999999999" customHeight="1" x14ac:dyDescent="0.25">
      <c r="A63" s="533">
        <f t="shared" si="0"/>
        <v>59</v>
      </c>
      <c r="B63" s="81">
        <v>100</v>
      </c>
      <c r="C63" s="188">
        <f t="shared" si="2"/>
        <v>56</v>
      </c>
      <c r="D63" s="73"/>
      <c r="E63" s="75"/>
      <c r="F63" s="139" t="s">
        <v>215</v>
      </c>
      <c r="G63" s="55" t="s">
        <v>216</v>
      </c>
      <c r="H63" s="1185" t="str">
        <f>H64</f>
        <v xml:space="preserve"> </v>
      </c>
      <c r="I63" s="132" t="s">
        <v>217</v>
      </c>
      <c r="J63" s="813" t="s">
        <v>218</v>
      </c>
      <c r="K63" s="135"/>
      <c r="L63" s="34"/>
      <c r="M63" s="33"/>
      <c r="N63" s="34"/>
      <c r="O63" s="33" t="s">
        <v>32</v>
      </c>
      <c r="P63" s="33"/>
      <c r="Q63" s="37">
        <v>240</v>
      </c>
      <c r="R63" s="35"/>
      <c r="S63" s="35"/>
      <c r="T63" s="36"/>
      <c r="U63" s="36"/>
      <c r="V63" s="37" t="s">
        <v>22</v>
      </c>
      <c r="W63" s="311">
        <v>13</v>
      </c>
      <c r="X63" s="178"/>
      <c r="Y63" s="70"/>
      <c r="Z63" s="37">
        <v>30</v>
      </c>
      <c r="AA63" s="68">
        <v>70</v>
      </c>
      <c r="AB63" s="210"/>
      <c r="AC63" s="135"/>
      <c r="AD63" s="34"/>
      <c r="AE63" s="34"/>
      <c r="AF63" s="34"/>
      <c r="AG63" s="34"/>
      <c r="AH63" s="34"/>
      <c r="AI63" s="34"/>
      <c r="AJ63" s="34" t="s">
        <v>32</v>
      </c>
      <c r="AK63" s="34"/>
      <c r="AL63" s="34"/>
      <c r="AM63" s="347"/>
      <c r="AN63" s="1301" t="s">
        <v>1285</v>
      </c>
      <c r="AO63" s="8"/>
      <c r="AP63" s="38"/>
      <c r="AQ63" s="528"/>
      <c r="AR63" s="531"/>
      <c r="AS63" s="531"/>
      <c r="AT63" s="531"/>
      <c r="AU63" s="335"/>
      <c r="AV63" s="1280"/>
      <c r="AW63" s="1121"/>
      <c r="AX63" s="1121"/>
      <c r="AY63" s="1047"/>
      <c r="AZ63" s="1047"/>
      <c r="BA63" s="1047"/>
      <c r="BB63" s="1047"/>
      <c r="BC63" s="1121"/>
      <c r="BD63" s="1121"/>
      <c r="BG63" s="8"/>
    </row>
    <row r="64" spans="1:59" ht="16.149999999999999" customHeight="1" x14ac:dyDescent="0.25">
      <c r="A64" s="533">
        <f t="shared" si="0"/>
        <v>60</v>
      </c>
      <c r="B64" s="81">
        <v>94</v>
      </c>
      <c r="C64" s="188">
        <f t="shared" si="2"/>
        <v>57</v>
      </c>
      <c r="D64" s="73" t="s">
        <v>29</v>
      </c>
      <c r="E64" s="75" t="s">
        <v>29</v>
      </c>
      <c r="F64" s="139" t="s">
        <v>219</v>
      </c>
      <c r="G64" s="55" t="s">
        <v>220</v>
      </c>
      <c r="H64" s="1185" t="str">
        <f>'DEGREE MARK SIMULATOR'!AI69</f>
        <v xml:space="preserve"> </v>
      </c>
      <c r="I64" s="132" t="s">
        <v>648</v>
      </c>
      <c r="J64" s="793" t="s">
        <v>221</v>
      </c>
      <c r="K64" s="135" t="s">
        <v>29</v>
      </c>
      <c r="L64" s="34" t="s">
        <v>29</v>
      </c>
      <c r="M64" s="33" t="s">
        <v>29</v>
      </c>
      <c r="N64" s="34"/>
      <c r="O64" s="33" t="s">
        <v>32</v>
      </c>
      <c r="P64" s="33"/>
      <c r="Q64" s="37">
        <v>240</v>
      </c>
      <c r="R64" s="35"/>
      <c r="S64" s="35"/>
      <c r="T64" s="36"/>
      <c r="U64" s="36"/>
      <c r="V64" s="37" t="s">
        <v>22</v>
      </c>
      <c r="W64" s="311">
        <v>13</v>
      </c>
      <c r="X64" s="178"/>
      <c r="Y64" s="70"/>
      <c r="Z64" s="37">
        <v>30</v>
      </c>
      <c r="AA64" s="68">
        <v>70</v>
      </c>
      <c r="AB64" s="210"/>
      <c r="AC64" s="135"/>
      <c r="AD64" s="34"/>
      <c r="AE64" s="34"/>
      <c r="AF64" s="34"/>
      <c r="AG64" s="34"/>
      <c r="AH64" s="34"/>
      <c r="AI64" s="34"/>
      <c r="AJ64" s="34" t="s">
        <v>32</v>
      </c>
      <c r="AK64" s="34"/>
      <c r="AL64" s="34"/>
      <c r="AM64" s="347"/>
      <c r="AN64" s="1301">
        <v>80.599999999999994</v>
      </c>
      <c r="AO64" s="8"/>
      <c r="AP64" s="38"/>
      <c r="AQ64" s="528"/>
      <c r="AR64" s="531"/>
      <c r="AS64" s="531"/>
      <c r="AT64" s="531"/>
      <c r="AU64" s="335"/>
      <c r="AV64" s="1280"/>
      <c r="AW64" s="1553"/>
      <c r="AX64" s="1553"/>
      <c r="AY64" s="1047"/>
      <c r="AZ64" s="1047"/>
      <c r="BA64" s="1047"/>
      <c r="BB64" s="1047"/>
      <c r="BC64" s="1553"/>
      <c r="BD64" s="1553"/>
      <c r="BG64" s="8"/>
    </row>
    <row r="65" spans="1:66" ht="16.149999999999999" customHeight="1" x14ac:dyDescent="0.25">
      <c r="A65" s="533">
        <f t="shared" si="0"/>
        <v>61</v>
      </c>
      <c r="B65" s="81">
        <v>140</v>
      </c>
      <c r="C65" s="188">
        <f t="shared" si="2"/>
        <v>58</v>
      </c>
      <c r="D65" s="73" t="s">
        <v>29</v>
      </c>
      <c r="E65" s="75" t="s">
        <v>29</v>
      </c>
      <c r="F65" s="139" t="s">
        <v>222</v>
      </c>
      <c r="G65" s="55" t="s">
        <v>223</v>
      </c>
      <c r="H65" s="1185" t="str">
        <f t="shared" ref="H65:H75" si="6">H66</f>
        <v xml:space="preserve"> </v>
      </c>
      <c r="I65" s="132" t="s">
        <v>224</v>
      </c>
      <c r="J65" s="793" t="s">
        <v>225</v>
      </c>
      <c r="K65" s="135" t="s">
        <v>29</v>
      </c>
      <c r="L65" s="34" t="s">
        <v>29</v>
      </c>
      <c r="M65" s="33" t="s">
        <v>29</v>
      </c>
      <c r="N65" s="34"/>
      <c r="O65" s="33" t="s">
        <v>32</v>
      </c>
      <c r="P65" s="33"/>
      <c r="Q65" s="37">
        <v>240</v>
      </c>
      <c r="R65" s="35"/>
      <c r="S65" s="35"/>
      <c r="T65" s="36"/>
      <c r="U65" s="36"/>
      <c r="V65" s="37" t="s">
        <v>22</v>
      </c>
      <c r="W65" s="311">
        <v>13</v>
      </c>
      <c r="X65" s="178"/>
      <c r="Y65" s="70"/>
      <c r="Z65" s="37">
        <v>30</v>
      </c>
      <c r="AA65" s="68">
        <v>70</v>
      </c>
      <c r="AB65" s="210"/>
      <c r="AC65" s="135"/>
      <c r="AD65" s="34"/>
      <c r="AE65" s="34"/>
      <c r="AF65" s="34"/>
      <c r="AG65" s="34"/>
      <c r="AH65" s="34"/>
      <c r="AI65" s="34"/>
      <c r="AJ65" s="34" t="s">
        <v>32</v>
      </c>
      <c r="AK65" s="34"/>
      <c r="AL65" s="34"/>
      <c r="AM65" s="347"/>
      <c r="AN65" s="1301">
        <v>63.5</v>
      </c>
      <c r="AO65" s="8"/>
      <c r="AP65" s="38"/>
      <c r="AQ65" s="528"/>
      <c r="AR65" s="531"/>
      <c r="AS65" s="531"/>
      <c r="AT65" s="531"/>
      <c r="AU65" s="335"/>
      <c r="AV65" s="1280"/>
      <c r="AW65" s="1121"/>
      <c r="AX65" s="1121"/>
      <c r="AY65" s="1047"/>
      <c r="AZ65" s="1047"/>
      <c r="BA65" s="1047"/>
      <c r="BB65" s="1047"/>
      <c r="BC65" s="1121"/>
      <c r="BD65" s="1121"/>
      <c r="BG65" s="8"/>
    </row>
    <row r="66" spans="1:66" ht="16.149999999999999" customHeight="1" x14ac:dyDescent="0.25">
      <c r="A66" s="533">
        <f t="shared" si="0"/>
        <v>62</v>
      </c>
      <c r="B66" s="81">
        <v>134</v>
      </c>
      <c r="C66" s="188">
        <f t="shared" si="2"/>
        <v>59</v>
      </c>
      <c r="D66" s="73" t="s">
        <v>29</v>
      </c>
      <c r="E66" s="75" t="s">
        <v>29</v>
      </c>
      <c r="F66" s="139" t="s">
        <v>226</v>
      </c>
      <c r="G66" s="55" t="s">
        <v>227</v>
      </c>
      <c r="H66" s="1185" t="str">
        <f t="shared" si="6"/>
        <v xml:space="preserve"> </v>
      </c>
      <c r="I66" s="132" t="s">
        <v>228</v>
      </c>
      <c r="J66" s="793" t="s">
        <v>229</v>
      </c>
      <c r="K66" s="135" t="s">
        <v>29</v>
      </c>
      <c r="L66" s="34" t="s">
        <v>29</v>
      </c>
      <c r="M66" s="33" t="s">
        <v>29</v>
      </c>
      <c r="N66" s="34"/>
      <c r="O66" s="33" t="s">
        <v>32</v>
      </c>
      <c r="P66" s="33"/>
      <c r="Q66" s="37">
        <v>240</v>
      </c>
      <c r="R66" s="35"/>
      <c r="S66" s="35"/>
      <c r="T66" s="36"/>
      <c r="U66" s="36"/>
      <c r="V66" s="37" t="s">
        <v>22</v>
      </c>
      <c r="W66" s="311">
        <v>13</v>
      </c>
      <c r="X66" s="178"/>
      <c r="Y66" s="70"/>
      <c r="Z66" s="37">
        <v>30</v>
      </c>
      <c r="AA66" s="68">
        <v>70</v>
      </c>
      <c r="AB66" s="210"/>
      <c r="AC66" s="135"/>
      <c r="AD66" s="34"/>
      <c r="AE66" s="34"/>
      <c r="AF66" s="34"/>
      <c r="AG66" s="34"/>
      <c r="AH66" s="34"/>
      <c r="AI66" s="34"/>
      <c r="AJ66" s="34" t="s">
        <v>32</v>
      </c>
      <c r="AK66" s="34"/>
      <c r="AL66" s="34"/>
      <c r="AM66" s="347"/>
      <c r="AN66" s="1301" t="s">
        <v>1285</v>
      </c>
      <c r="AO66" s="8"/>
      <c r="AP66" s="38"/>
      <c r="AQ66" s="528"/>
      <c r="AR66" s="531"/>
      <c r="AS66" s="531"/>
      <c r="AT66" s="531"/>
      <c r="AU66" s="335"/>
      <c r="AV66" s="1280"/>
      <c r="AW66" s="1121"/>
      <c r="AX66" s="1121"/>
      <c r="AY66" s="1047"/>
      <c r="AZ66" s="1047"/>
      <c r="BA66" s="1047"/>
      <c r="BB66" s="1047"/>
      <c r="BC66" s="1121"/>
      <c r="BD66" s="1121"/>
      <c r="BG66" s="8"/>
    </row>
    <row r="67" spans="1:66" ht="16.149999999999999" customHeight="1" x14ac:dyDescent="0.25">
      <c r="A67" s="533">
        <f t="shared" si="0"/>
        <v>63</v>
      </c>
      <c r="B67" s="81">
        <v>161</v>
      </c>
      <c r="C67" s="188">
        <f t="shared" si="2"/>
        <v>60</v>
      </c>
      <c r="D67" s="73" t="s">
        <v>29</v>
      </c>
      <c r="E67" s="75" t="s">
        <v>29</v>
      </c>
      <c r="F67" s="139" t="s">
        <v>230</v>
      </c>
      <c r="G67" s="55" t="s">
        <v>231</v>
      </c>
      <c r="H67" s="1185" t="str">
        <f t="shared" si="6"/>
        <v xml:space="preserve"> </v>
      </c>
      <c r="I67" s="132" t="s">
        <v>649</v>
      </c>
      <c r="J67" s="793" t="s">
        <v>232</v>
      </c>
      <c r="K67" s="135" t="s">
        <v>29</v>
      </c>
      <c r="L67" s="34" t="s">
        <v>29</v>
      </c>
      <c r="M67" s="33" t="s">
        <v>29</v>
      </c>
      <c r="N67" s="34"/>
      <c r="O67" s="33" t="s">
        <v>32</v>
      </c>
      <c r="P67" s="33"/>
      <c r="Q67" s="37">
        <v>240</v>
      </c>
      <c r="R67" s="35"/>
      <c r="S67" s="35"/>
      <c r="T67" s="36"/>
      <c r="U67" s="36"/>
      <c r="V67" s="37" t="s">
        <v>22</v>
      </c>
      <c r="W67" s="311">
        <v>13</v>
      </c>
      <c r="X67" s="178"/>
      <c r="Y67" s="70"/>
      <c r="Z67" s="37">
        <v>30</v>
      </c>
      <c r="AA67" s="68">
        <v>70</v>
      </c>
      <c r="AB67" s="210"/>
      <c r="AC67" s="135"/>
      <c r="AD67" s="34"/>
      <c r="AE67" s="34"/>
      <c r="AF67" s="34"/>
      <c r="AG67" s="34"/>
      <c r="AH67" s="34"/>
      <c r="AI67" s="34"/>
      <c r="AJ67" s="34" t="s">
        <v>32</v>
      </c>
      <c r="AK67" s="34"/>
      <c r="AL67" s="34"/>
      <c r="AM67" s="347"/>
      <c r="AN67" s="1301">
        <v>72.3</v>
      </c>
      <c r="AO67" s="8"/>
      <c r="AP67" s="38"/>
      <c r="AQ67" s="528"/>
      <c r="AR67" s="531"/>
      <c r="AS67" s="531"/>
      <c r="AT67" s="531"/>
      <c r="AU67" s="335"/>
      <c r="AV67" s="1280"/>
      <c r="AW67" s="1121"/>
      <c r="AX67" s="1121"/>
      <c r="AY67" s="1047"/>
      <c r="AZ67" s="1047"/>
      <c r="BA67" s="1047"/>
      <c r="BB67" s="1047"/>
      <c r="BC67" s="1121"/>
      <c r="BD67" s="1121"/>
      <c r="BG67" s="8"/>
    </row>
    <row r="68" spans="1:66" ht="16.149999999999999" customHeight="1" x14ac:dyDescent="0.25">
      <c r="A68" s="533">
        <f t="shared" si="0"/>
        <v>64</v>
      </c>
      <c r="B68" s="81">
        <v>177</v>
      </c>
      <c r="C68" s="188">
        <f t="shared" si="2"/>
        <v>61</v>
      </c>
      <c r="D68" s="73" t="s">
        <v>29</v>
      </c>
      <c r="E68" s="75" t="s">
        <v>29</v>
      </c>
      <c r="F68" s="139" t="s">
        <v>233</v>
      </c>
      <c r="G68" s="55" t="s">
        <v>234</v>
      </c>
      <c r="H68" s="1185" t="str">
        <f t="shared" si="6"/>
        <v xml:space="preserve"> </v>
      </c>
      <c r="I68" s="132" t="s">
        <v>650</v>
      </c>
      <c r="J68" s="793" t="s">
        <v>235</v>
      </c>
      <c r="K68" s="135" t="s">
        <v>29</v>
      </c>
      <c r="L68" s="34" t="s">
        <v>29</v>
      </c>
      <c r="M68" s="33" t="s">
        <v>29</v>
      </c>
      <c r="N68" s="34"/>
      <c r="O68" s="33" t="s">
        <v>32</v>
      </c>
      <c r="P68" s="33"/>
      <c r="Q68" s="37">
        <v>240</v>
      </c>
      <c r="R68" s="35"/>
      <c r="S68" s="35"/>
      <c r="T68" s="36"/>
      <c r="U68" s="36"/>
      <c r="V68" s="37" t="s">
        <v>22</v>
      </c>
      <c r="W68" s="311">
        <v>13</v>
      </c>
      <c r="X68" s="178"/>
      <c r="Y68" s="70"/>
      <c r="Z68" s="37">
        <v>30</v>
      </c>
      <c r="AA68" s="68">
        <v>70</v>
      </c>
      <c r="AB68" s="210"/>
      <c r="AC68" s="135"/>
      <c r="AD68" s="34"/>
      <c r="AE68" s="34"/>
      <c r="AF68" s="34"/>
      <c r="AG68" s="34"/>
      <c r="AH68" s="34"/>
      <c r="AI68" s="34"/>
      <c r="AJ68" s="34" t="s">
        <v>32</v>
      </c>
      <c r="AK68" s="34"/>
      <c r="AL68" s="34"/>
      <c r="AM68" s="347">
        <v>11</v>
      </c>
      <c r="AN68" s="1301">
        <v>76</v>
      </c>
      <c r="AO68" s="8"/>
      <c r="AP68" s="38"/>
      <c r="AQ68" s="528"/>
      <c r="AR68" s="531"/>
      <c r="AS68" s="531"/>
      <c r="AT68" s="531"/>
      <c r="AU68" s="335"/>
      <c r="AV68" s="1280"/>
      <c r="AW68" s="1121"/>
      <c r="AX68" s="1121"/>
      <c r="AY68" s="1047"/>
      <c r="AZ68" s="1047"/>
      <c r="BA68" s="1047"/>
      <c r="BB68" s="1047"/>
      <c r="BC68" s="1121"/>
      <c r="BD68" s="1121"/>
      <c r="BG68" s="8"/>
    </row>
    <row r="69" spans="1:66" ht="16.149999999999999" customHeight="1" x14ac:dyDescent="0.25">
      <c r="A69" s="533">
        <f t="shared" si="0"/>
        <v>65</v>
      </c>
      <c r="B69" s="81">
        <v>22</v>
      </c>
      <c r="C69" s="188">
        <f t="shared" si="2"/>
        <v>62</v>
      </c>
      <c r="D69" s="73" t="s">
        <v>29</v>
      </c>
      <c r="E69" s="75" t="s">
        <v>29</v>
      </c>
      <c r="F69" s="139" t="s">
        <v>236</v>
      </c>
      <c r="G69" s="55" t="s">
        <v>236</v>
      </c>
      <c r="H69" s="1185" t="str">
        <f t="shared" si="6"/>
        <v xml:space="preserve"> </v>
      </c>
      <c r="I69" s="132" t="s">
        <v>237</v>
      </c>
      <c r="J69" s="793" t="s">
        <v>238</v>
      </c>
      <c r="K69" s="135" t="s">
        <v>29</v>
      </c>
      <c r="L69" s="34" t="s">
        <v>29</v>
      </c>
      <c r="M69" s="33" t="s">
        <v>29</v>
      </c>
      <c r="N69" s="34"/>
      <c r="O69" s="33" t="s">
        <v>32</v>
      </c>
      <c r="P69" s="33"/>
      <c r="Q69" s="37">
        <v>240</v>
      </c>
      <c r="R69" s="35"/>
      <c r="S69" s="35"/>
      <c r="T69" s="36"/>
      <c r="U69" s="36"/>
      <c r="V69" s="37" t="s">
        <v>23</v>
      </c>
      <c r="W69" s="311">
        <v>14</v>
      </c>
      <c r="X69" s="178">
        <v>18</v>
      </c>
      <c r="Y69" s="70"/>
      <c r="Z69" s="37">
        <v>25</v>
      </c>
      <c r="AA69" s="68">
        <v>75</v>
      </c>
      <c r="AB69" s="210"/>
      <c r="AC69" s="135"/>
      <c r="AD69" s="34"/>
      <c r="AE69" s="34"/>
      <c r="AF69" s="34"/>
      <c r="AG69" s="34"/>
      <c r="AH69" s="34"/>
      <c r="AI69" s="34"/>
      <c r="AJ69" s="34"/>
      <c r="AK69" s="34" t="s">
        <v>32</v>
      </c>
      <c r="AL69" s="34"/>
      <c r="AM69" s="347"/>
      <c r="AN69" s="1301">
        <v>66.099999999999994</v>
      </c>
      <c r="AO69" s="8"/>
      <c r="AP69" s="38"/>
      <c r="AQ69" s="528"/>
      <c r="AR69" s="531"/>
      <c r="AS69" s="531"/>
      <c r="AT69" s="531"/>
      <c r="AU69" s="335"/>
      <c r="AV69" s="1280"/>
      <c r="AW69" s="1121"/>
      <c r="AX69" s="1121"/>
      <c r="AY69" s="1047"/>
      <c r="AZ69" s="1047"/>
      <c r="BA69" s="1047"/>
      <c r="BB69" s="1047"/>
      <c r="BC69" s="1121"/>
      <c r="BD69" s="1121"/>
      <c r="BG69" s="8"/>
    </row>
    <row r="70" spans="1:66" ht="16.149999999999999" customHeight="1" x14ac:dyDescent="0.25">
      <c r="A70" s="533">
        <f t="shared" si="0"/>
        <v>66</v>
      </c>
      <c r="B70" s="81">
        <v>10</v>
      </c>
      <c r="C70" s="188">
        <f t="shared" si="2"/>
        <v>63</v>
      </c>
      <c r="D70" s="73" t="s">
        <v>29</v>
      </c>
      <c r="E70" s="75" t="s">
        <v>29</v>
      </c>
      <c r="F70" s="139" t="s">
        <v>239</v>
      </c>
      <c r="G70" s="55" t="s">
        <v>240</v>
      </c>
      <c r="H70" s="1185" t="str">
        <f t="shared" si="6"/>
        <v xml:space="preserve"> </v>
      </c>
      <c r="I70" s="132" t="s">
        <v>651</v>
      </c>
      <c r="J70" s="793" t="s">
        <v>241</v>
      </c>
      <c r="K70" s="135" t="s">
        <v>29</v>
      </c>
      <c r="L70" s="34" t="s">
        <v>29</v>
      </c>
      <c r="M70" s="33" t="s">
        <v>29</v>
      </c>
      <c r="N70" s="34"/>
      <c r="O70" s="33" t="s">
        <v>32</v>
      </c>
      <c r="P70" s="33"/>
      <c r="Q70" s="37">
        <v>240</v>
      </c>
      <c r="R70" s="35"/>
      <c r="S70" s="35"/>
      <c r="T70" s="36"/>
      <c r="U70" s="36"/>
      <c r="V70" s="37" t="s">
        <v>23</v>
      </c>
      <c r="W70" s="311">
        <v>14</v>
      </c>
      <c r="X70" s="178"/>
      <c r="Y70" s="70"/>
      <c r="Z70" s="37">
        <v>25</v>
      </c>
      <c r="AA70" s="68">
        <v>75</v>
      </c>
      <c r="AB70" s="210"/>
      <c r="AC70" s="135"/>
      <c r="AD70" s="34"/>
      <c r="AE70" s="34"/>
      <c r="AF70" s="34"/>
      <c r="AG70" s="34"/>
      <c r="AH70" s="34"/>
      <c r="AI70" s="34"/>
      <c r="AJ70" s="34"/>
      <c r="AK70" s="34" t="s">
        <v>32</v>
      </c>
      <c r="AL70" s="34"/>
      <c r="AM70" s="347"/>
      <c r="AN70" s="1301">
        <v>84.4</v>
      </c>
      <c r="AO70" s="8"/>
      <c r="AP70" s="38"/>
      <c r="AQ70" s="528"/>
      <c r="AR70" s="531"/>
      <c r="AS70" s="531"/>
      <c r="AT70" s="531"/>
      <c r="AU70" s="335"/>
      <c r="AV70" s="1280"/>
      <c r="AW70" s="1121"/>
      <c r="AX70" s="1121"/>
      <c r="AY70" s="1047"/>
      <c r="AZ70" s="1047"/>
      <c r="BA70" s="1047"/>
      <c r="BB70" s="1047"/>
      <c r="BC70" s="1121"/>
      <c r="BD70" s="1121"/>
      <c r="BG70" s="8"/>
    </row>
    <row r="71" spans="1:66" ht="16.149999999999999" customHeight="1" x14ac:dyDescent="0.25">
      <c r="A71" s="533">
        <f t="shared" ref="A71:A135" si="7">A70+1</f>
        <v>67</v>
      </c>
      <c r="B71" s="81">
        <v>17</v>
      </c>
      <c r="C71" s="188">
        <f t="shared" si="2"/>
        <v>64</v>
      </c>
      <c r="D71" s="73" t="s">
        <v>29</v>
      </c>
      <c r="E71" s="75" t="s">
        <v>29</v>
      </c>
      <c r="F71" s="139" t="s">
        <v>242</v>
      </c>
      <c r="G71" s="55" t="s">
        <v>243</v>
      </c>
      <c r="H71" s="1185" t="str">
        <f t="shared" si="6"/>
        <v xml:space="preserve"> </v>
      </c>
      <c r="I71" s="132" t="s">
        <v>652</v>
      </c>
      <c r="J71" s="793" t="s">
        <v>244</v>
      </c>
      <c r="K71" s="135" t="s">
        <v>29</v>
      </c>
      <c r="L71" s="34" t="s">
        <v>29</v>
      </c>
      <c r="M71" s="33" t="s">
        <v>32</v>
      </c>
      <c r="N71" s="34"/>
      <c r="O71" s="33" t="s">
        <v>32</v>
      </c>
      <c r="P71" s="33"/>
      <c r="Q71" s="37">
        <v>240</v>
      </c>
      <c r="R71" s="35"/>
      <c r="S71" s="35"/>
      <c r="T71" s="36"/>
      <c r="U71" s="36"/>
      <c r="V71" s="37" t="s">
        <v>23</v>
      </c>
      <c r="W71" s="311">
        <v>14</v>
      </c>
      <c r="X71" s="178"/>
      <c r="Y71" s="70"/>
      <c r="Z71" s="37">
        <v>25</v>
      </c>
      <c r="AA71" s="68">
        <v>75</v>
      </c>
      <c r="AB71" s="210"/>
      <c r="AC71" s="135"/>
      <c r="AD71" s="34"/>
      <c r="AE71" s="34"/>
      <c r="AF71" s="34"/>
      <c r="AG71" s="34"/>
      <c r="AH71" s="34"/>
      <c r="AI71" s="34"/>
      <c r="AJ71" s="34"/>
      <c r="AK71" s="34" t="s">
        <v>32</v>
      </c>
      <c r="AL71" s="34"/>
      <c r="AM71" s="347"/>
      <c r="AN71" s="1301">
        <v>86.6</v>
      </c>
      <c r="AO71" s="8"/>
      <c r="AP71" s="38"/>
      <c r="AQ71" s="528"/>
      <c r="AR71" s="531"/>
      <c r="AS71" s="531"/>
      <c r="AT71" s="531"/>
      <c r="AU71" s="335"/>
      <c r="AV71" s="1280"/>
      <c r="AW71" s="1121"/>
      <c r="AX71" s="1121"/>
      <c r="AY71" s="1047"/>
      <c r="AZ71" s="1047"/>
      <c r="BA71" s="1047"/>
      <c r="BB71" s="1047"/>
      <c r="BC71" s="1121"/>
      <c r="BD71" s="1121"/>
      <c r="BG71" s="8"/>
    </row>
    <row r="72" spans="1:66" ht="16.149999999999999" customHeight="1" x14ac:dyDescent="0.25">
      <c r="A72" s="533">
        <f t="shared" si="7"/>
        <v>68</v>
      </c>
      <c r="B72" s="81">
        <v>26</v>
      </c>
      <c r="C72" s="188">
        <f t="shared" si="2"/>
        <v>65</v>
      </c>
      <c r="D72" s="73" t="s">
        <v>29</v>
      </c>
      <c r="E72" s="75" t="s">
        <v>29</v>
      </c>
      <c r="F72" s="139" t="s">
        <v>245</v>
      </c>
      <c r="G72" s="55" t="s">
        <v>246</v>
      </c>
      <c r="H72" s="1185" t="str">
        <f t="shared" si="6"/>
        <v xml:space="preserve"> </v>
      </c>
      <c r="I72" s="132" t="s">
        <v>653</v>
      </c>
      <c r="J72" s="793" t="s">
        <v>247</v>
      </c>
      <c r="K72" s="135" t="s">
        <v>29</v>
      </c>
      <c r="L72" s="34" t="s">
        <v>29</v>
      </c>
      <c r="M72" s="33" t="s">
        <v>29</v>
      </c>
      <c r="N72" s="34"/>
      <c r="O72" s="33" t="s">
        <v>32</v>
      </c>
      <c r="P72" s="33"/>
      <c r="Q72" s="37">
        <v>240</v>
      </c>
      <c r="R72" s="35"/>
      <c r="S72" s="35"/>
      <c r="T72" s="36"/>
      <c r="U72" s="36"/>
      <c r="V72" s="37" t="s">
        <v>23</v>
      </c>
      <c r="W72" s="311">
        <v>14</v>
      </c>
      <c r="X72" s="178"/>
      <c r="Y72" s="70"/>
      <c r="Z72" s="37">
        <v>25</v>
      </c>
      <c r="AA72" s="68">
        <v>75</v>
      </c>
      <c r="AB72" s="210"/>
      <c r="AC72" s="135"/>
      <c r="AD72" s="34"/>
      <c r="AE72" s="34"/>
      <c r="AF72" s="34"/>
      <c r="AG72" s="34"/>
      <c r="AH72" s="34"/>
      <c r="AI72" s="34"/>
      <c r="AJ72" s="34"/>
      <c r="AK72" s="34" t="s">
        <v>32</v>
      </c>
      <c r="AL72" s="34"/>
      <c r="AM72" s="347"/>
      <c r="AN72" s="1301">
        <v>72.2</v>
      </c>
      <c r="AO72" s="8"/>
      <c r="AP72" s="38"/>
      <c r="AQ72" s="528"/>
      <c r="AR72" s="531"/>
      <c r="AS72" s="531"/>
      <c r="AT72" s="531"/>
      <c r="AU72" s="335"/>
      <c r="AV72" s="1280"/>
      <c r="AW72" s="1121"/>
      <c r="AX72" s="1121"/>
      <c r="AY72" s="1047"/>
      <c r="AZ72" s="1047"/>
      <c r="BA72" s="1047"/>
      <c r="BB72" s="1047"/>
      <c r="BC72" s="1121"/>
      <c r="BD72" s="1121"/>
      <c r="BG72" s="8"/>
    </row>
    <row r="73" spans="1:66" ht="16.149999999999999" customHeight="1" x14ac:dyDescent="0.25">
      <c r="A73" s="533">
        <f t="shared" si="7"/>
        <v>69</v>
      </c>
      <c r="B73" s="81">
        <v>39</v>
      </c>
      <c r="C73" s="188">
        <f t="shared" si="2"/>
        <v>66</v>
      </c>
      <c r="D73" s="73"/>
      <c r="E73" s="75" t="s">
        <v>29</v>
      </c>
      <c r="F73" s="139" t="s">
        <v>248</v>
      </c>
      <c r="G73" s="55" t="s">
        <v>248</v>
      </c>
      <c r="H73" s="1185" t="str">
        <f t="shared" si="6"/>
        <v xml:space="preserve"> </v>
      </c>
      <c r="I73" s="132" t="s">
        <v>654</v>
      </c>
      <c r="J73" s="793" t="s">
        <v>249</v>
      </c>
      <c r="K73" s="135" t="s">
        <v>29</v>
      </c>
      <c r="L73" s="34" t="s">
        <v>29</v>
      </c>
      <c r="M73" s="33"/>
      <c r="N73" s="34"/>
      <c r="O73" s="33" t="s">
        <v>32</v>
      </c>
      <c r="P73" s="33"/>
      <c r="Q73" s="37">
        <v>240</v>
      </c>
      <c r="R73" s="35"/>
      <c r="S73" s="35"/>
      <c r="T73" s="36"/>
      <c r="U73" s="36"/>
      <c r="V73" s="37" t="s">
        <v>23</v>
      </c>
      <c r="W73" s="311">
        <v>14</v>
      </c>
      <c r="X73" s="178"/>
      <c r="Y73" s="70"/>
      <c r="Z73" s="37">
        <v>25</v>
      </c>
      <c r="AA73" s="68">
        <v>75</v>
      </c>
      <c r="AB73" s="210"/>
      <c r="AC73" s="135"/>
      <c r="AD73" s="34"/>
      <c r="AE73" s="34"/>
      <c r="AF73" s="34"/>
      <c r="AG73" s="34"/>
      <c r="AH73" s="34"/>
      <c r="AI73" s="34"/>
      <c r="AJ73" s="34"/>
      <c r="AK73" s="34" t="s">
        <v>32</v>
      </c>
      <c r="AL73" s="34"/>
      <c r="AM73" s="347"/>
      <c r="AN73" s="1301" t="s">
        <v>1285</v>
      </c>
      <c r="AO73" s="8"/>
      <c r="AP73" s="38"/>
      <c r="AQ73" s="528"/>
      <c r="AR73" s="531"/>
      <c r="AS73" s="531"/>
      <c r="AT73" s="531"/>
      <c r="AU73" s="335"/>
      <c r="AV73" s="1280"/>
      <c r="AW73" s="1121"/>
      <c r="AX73" s="1121"/>
      <c r="AY73" s="1047"/>
      <c r="AZ73" s="1047"/>
      <c r="BA73" s="1047"/>
      <c r="BB73" s="1047"/>
      <c r="BC73" s="1121"/>
      <c r="BD73" s="1121"/>
      <c r="BG73" s="8"/>
    </row>
    <row r="74" spans="1:66" ht="16.149999999999999" customHeight="1" x14ac:dyDescent="0.25">
      <c r="A74" s="533">
        <f t="shared" si="7"/>
        <v>70</v>
      </c>
      <c r="B74" s="81">
        <v>141</v>
      </c>
      <c r="C74" s="188">
        <f t="shared" si="2"/>
        <v>67</v>
      </c>
      <c r="D74" s="73"/>
      <c r="E74" s="75" t="s">
        <v>29</v>
      </c>
      <c r="F74" s="139" t="s">
        <v>250</v>
      </c>
      <c r="G74" s="55" t="s">
        <v>251</v>
      </c>
      <c r="H74" s="1185" t="str">
        <f t="shared" si="6"/>
        <v xml:space="preserve"> </v>
      </c>
      <c r="I74" s="132" t="s">
        <v>655</v>
      </c>
      <c r="J74" s="793" t="s">
        <v>708</v>
      </c>
      <c r="K74" s="135" t="s">
        <v>29</v>
      </c>
      <c r="L74" s="34" t="s">
        <v>29</v>
      </c>
      <c r="M74" s="33"/>
      <c r="N74" s="34"/>
      <c r="O74" s="33" t="s">
        <v>32</v>
      </c>
      <c r="P74" s="33"/>
      <c r="Q74" s="37">
        <v>240</v>
      </c>
      <c r="R74" s="35"/>
      <c r="S74" s="35"/>
      <c r="T74" s="36"/>
      <c r="U74" s="36"/>
      <c r="V74" s="37" t="s">
        <v>23</v>
      </c>
      <c r="W74" s="311">
        <v>14</v>
      </c>
      <c r="X74" s="178"/>
      <c r="Y74" s="70"/>
      <c r="Z74" s="37">
        <v>25</v>
      </c>
      <c r="AA74" s="68">
        <v>75</v>
      </c>
      <c r="AB74" s="210"/>
      <c r="AC74" s="135"/>
      <c r="AD74" s="34"/>
      <c r="AE74" s="34"/>
      <c r="AF74" s="34"/>
      <c r="AG74" s="34"/>
      <c r="AH74" s="34"/>
      <c r="AI74" s="34"/>
      <c r="AJ74" s="34"/>
      <c r="AK74" s="34" t="s">
        <v>32</v>
      </c>
      <c r="AL74" s="34"/>
      <c r="AM74" s="347"/>
      <c r="AN74" s="1301" t="s">
        <v>1285</v>
      </c>
      <c r="AO74" s="8"/>
      <c r="AP74" s="38"/>
      <c r="AQ74" s="528"/>
      <c r="AR74" s="531"/>
      <c r="AS74" s="531"/>
      <c r="AT74" s="531"/>
      <c r="AU74" s="335"/>
      <c r="AV74" s="1280"/>
      <c r="AW74" s="1121"/>
      <c r="AX74" s="1121"/>
      <c r="AY74" s="1047"/>
      <c r="AZ74" s="1047"/>
      <c r="BA74" s="1047"/>
      <c r="BB74" s="1047"/>
      <c r="BC74" s="1121"/>
      <c r="BD74" s="1121"/>
      <c r="BG74" s="8"/>
    </row>
    <row r="75" spans="1:66" ht="16.149999999999999" customHeight="1" x14ac:dyDescent="0.25">
      <c r="A75" s="533">
        <f t="shared" si="7"/>
        <v>71</v>
      </c>
      <c r="B75" s="81">
        <v>91</v>
      </c>
      <c r="C75" s="188">
        <f t="shared" si="2"/>
        <v>68</v>
      </c>
      <c r="D75" s="73" t="s">
        <v>29</v>
      </c>
      <c r="E75" s="75" t="s">
        <v>29</v>
      </c>
      <c r="F75" s="142" t="s">
        <v>968</v>
      </c>
      <c r="G75" s="141" t="s">
        <v>252</v>
      </c>
      <c r="H75" s="1185" t="str">
        <f t="shared" si="6"/>
        <v xml:space="preserve"> </v>
      </c>
      <c r="I75" s="132" t="s">
        <v>656</v>
      </c>
      <c r="J75" s="793" t="s">
        <v>253</v>
      </c>
      <c r="K75" s="135" t="s">
        <v>29</v>
      </c>
      <c r="L75" s="34" t="s">
        <v>32</v>
      </c>
      <c r="M75" s="33" t="s">
        <v>29</v>
      </c>
      <c r="N75" s="34"/>
      <c r="O75" s="33" t="s">
        <v>32</v>
      </c>
      <c r="P75" s="33"/>
      <c r="Q75" s="37">
        <v>240</v>
      </c>
      <c r="R75" s="35"/>
      <c r="S75" s="35"/>
      <c r="T75" s="36"/>
      <c r="U75" s="36"/>
      <c r="V75" s="37" t="s">
        <v>23</v>
      </c>
      <c r="W75" s="311">
        <v>14</v>
      </c>
      <c r="X75" s="178"/>
      <c r="Y75" s="70"/>
      <c r="Z75" s="37">
        <v>25</v>
      </c>
      <c r="AA75" s="68">
        <v>75</v>
      </c>
      <c r="AB75" s="210"/>
      <c r="AC75" s="135"/>
      <c r="AD75" s="34"/>
      <c r="AE75" s="34"/>
      <c r="AF75" s="34"/>
      <c r="AG75" s="34"/>
      <c r="AH75" s="34"/>
      <c r="AI75" s="34"/>
      <c r="AJ75" s="34"/>
      <c r="AK75" s="34" t="s">
        <v>32</v>
      </c>
      <c r="AL75" s="34"/>
      <c r="AM75" s="347"/>
      <c r="AN75" s="1301">
        <v>79.3</v>
      </c>
      <c r="AO75" s="8"/>
      <c r="AP75" s="38"/>
      <c r="AQ75" s="528"/>
      <c r="AR75" s="531"/>
      <c r="AS75" s="531"/>
      <c r="AT75" s="531"/>
      <c r="AU75" s="335"/>
      <c r="AV75" s="1280"/>
      <c r="AW75" s="1121"/>
      <c r="AX75" s="1121"/>
      <c r="AY75" s="1047"/>
      <c r="AZ75" s="1047"/>
      <c r="BA75" s="1047"/>
      <c r="BB75" s="1047"/>
      <c r="BC75" s="1121"/>
      <c r="BD75" s="1121"/>
      <c r="BG75" s="8"/>
    </row>
    <row r="76" spans="1:66" s="108" customFormat="1" ht="16.149999999999999" customHeight="1" x14ac:dyDescent="0.25">
      <c r="A76" s="533">
        <f t="shared" si="7"/>
        <v>72</v>
      </c>
      <c r="B76" s="81">
        <v>96</v>
      </c>
      <c r="C76" s="188">
        <f t="shared" si="2"/>
        <v>69</v>
      </c>
      <c r="D76" s="73" t="s">
        <v>29</v>
      </c>
      <c r="E76" s="75" t="s">
        <v>29</v>
      </c>
      <c r="F76" s="139" t="s">
        <v>254</v>
      </c>
      <c r="G76" s="55" t="s">
        <v>255</v>
      </c>
      <c r="H76" s="1185" t="str">
        <f>H77</f>
        <v xml:space="preserve"> </v>
      </c>
      <c r="I76" s="132" t="s">
        <v>657</v>
      </c>
      <c r="J76" s="793" t="s">
        <v>256</v>
      </c>
      <c r="K76" s="135" t="s">
        <v>29</v>
      </c>
      <c r="L76" s="34" t="s">
        <v>29</v>
      </c>
      <c r="M76" s="33" t="s">
        <v>29</v>
      </c>
      <c r="N76" s="34"/>
      <c r="O76" s="33" t="s">
        <v>32</v>
      </c>
      <c r="P76" s="33"/>
      <c r="Q76" s="37">
        <v>240</v>
      </c>
      <c r="R76" s="35"/>
      <c r="S76" s="35"/>
      <c r="T76" s="36"/>
      <c r="U76" s="36"/>
      <c r="V76" s="37" t="s">
        <v>23</v>
      </c>
      <c r="W76" s="311">
        <v>14</v>
      </c>
      <c r="X76" s="178"/>
      <c r="Y76" s="70"/>
      <c r="Z76" s="37">
        <v>25</v>
      </c>
      <c r="AA76" s="68">
        <v>75</v>
      </c>
      <c r="AB76" s="210"/>
      <c r="AC76" s="135"/>
      <c r="AD76" s="34"/>
      <c r="AE76" s="34"/>
      <c r="AF76" s="34"/>
      <c r="AG76" s="34"/>
      <c r="AH76" s="34"/>
      <c r="AI76" s="34"/>
      <c r="AJ76" s="34"/>
      <c r="AK76" s="34" t="s">
        <v>32</v>
      </c>
      <c r="AL76" s="34"/>
      <c r="AM76" s="347"/>
      <c r="AN76" s="1301">
        <v>73.8</v>
      </c>
      <c r="AO76" s="8"/>
      <c r="AP76" s="38"/>
      <c r="AQ76" s="528"/>
      <c r="AR76" s="531"/>
      <c r="AS76" s="531"/>
      <c r="AT76" s="531"/>
      <c r="AU76" s="335"/>
      <c r="AV76" s="1280"/>
      <c r="AW76" s="1121"/>
      <c r="AX76" s="1121"/>
      <c r="AY76" s="1047"/>
      <c r="AZ76" s="1047"/>
      <c r="BA76" s="1047"/>
      <c r="BB76" s="1047"/>
      <c r="BC76" s="1121"/>
      <c r="BD76" s="1121"/>
      <c r="BE76" s="72"/>
      <c r="BF76" s="72"/>
      <c r="BG76" s="8"/>
      <c r="BH76" s="72"/>
      <c r="BI76" s="72"/>
      <c r="BJ76" s="72"/>
      <c r="BK76" s="72"/>
      <c r="BL76" s="72"/>
      <c r="BM76" s="72"/>
      <c r="BN76" s="72"/>
    </row>
    <row r="77" spans="1:66" s="108" customFormat="1" ht="16.149999999999999" customHeight="1" x14ac:dyDescent="0.25">
      <c r="A77" s="533">
        <f t="shared" si="7"/>
        <v>73</v>
      </c>
      <c r="B77" s="81">
        <v>109</v>
      </c>
      <c r="C77" s="188">
        <f t="shared" si="2"/>
        <v>70</v>
      </c>
      <c r="D77" s="73" t="s">
        <v>29</v>
      </c>
      <c r="E77" s="75" t="s">
        <v>29</v>
      </c>
      <c r="F77" s="139" t="s">
        <v>257</v>
      </c>
      <c r="G77" s="55" t="s">
        <v>258</v>
      </c>
      <c r="H77" s="1185" t="str">
        <f>'DEGREE MARK SIMULATOR'!AI70</f>
        <v xml:space="preserve"> </v>
      </c>
      <c r="I77" s="132" t="s">
        <v>658</v>
      </c>
      <c r="J77" s="793" t="s">
        <v>259</v>
      </c>
      <c r="K77" s="135" t="s">
        <v>29</v>
      </c>
      <c r="L77" s="34" t="s">
        <v>29</v>
      </c>
      <c r="M77" s="33" t="s">
        <v>29</v>
      </c>
      <c r="N77" s="34"/>
      <c r="O77" s="33" t="s">
        <v>32</v>
      </c>
      <c r="P77" s="33"/>
      <c r="Q77" s="37">
        <v>240</v>
      </c>
      <c r="R77" s="35"/>
      <c r="S77" s="35"/>
      <c r="T77" s="36"/>
      <c r="U77" s="36"/>
      <c r="V77" s="37" t="s">
        <v>23</v>
      </c>
      <c r="W77" s="311">
        <v>14</v>
      </c>
      <c r="X77" s="178"/>
      <c r="Y77" s="70"/>
      <c r="Z77" s="37">
        <v>25</v>
      </c>
      <c r="AA77" s="68">
        <v>75</v>
      </c>
      <c r="AB77" s="210"/>
      <c r="AC77" s="135"/>
      <c r="AD77" s="34"/>
      <c r="AE77" s="34"/>
      <c r="AF77" s="34"/>
      <c r="AG77" s="34"/>
      <c r="AH77" s="34"/>
      <c r="AI77" s="34"/>
      <c r="AJ77" s="34"/>
      <c r="AK77" s="34" t="s">
        <v>32</v>
      </c>
      <c r="AL77" s="34"/>
      <c r="AM77" s="347"/>
      <c r="AN77" s="1301">
        <v>73.2</v>
      </c>
      <c r="AO77" s="8"/>
      <c r="AP77" s="38"/>
      <c r="AQ77" s="528"/>
      <c r="AR77" s="531"/>
      <c r="AS77" s="531"/>
      <c r="AT77" s="531"/>
      <c r="AU77" s="335"/>
      <c r="AV77" s="1280"/>
      <c r="AW77" s="1553"/>
      <c r="AX77" s="1553"/>
      <c r="AY77" s="1047"/>
      <c r="AZ77" s="1047"/>
      <c r="BA77" s="1047"/>
      <c r="BB77" s="1047"/>
      <c r="BC77" s="1553"/>
      <c r="BD77" s="1553"/>
      <c r="BE77" s="72"/>
      <c r="BF77" s="72"/>
      <c r="BG77" s="8"/>
      <c r="BH77" s="72"/>
      <c r="BI77" s="72"/>
      <c r="BJ77" s="72"/>
      <c r="BK77" s="72"/>
      <c r="BL77" s="72"/>
      <c r="BM77" s="72"/>
      <c r="BN77" s="72"/>
    </row>
    <row r="78" spans="1:66" s="108" customFormat="1" ht="16.149999999999999" customHeight="1" x14ac:dyDescent="0.25">
      <c r="A78" s="533">
        <f t="shared" si="7"/>
        <v>74</v>
      </c>
      <c r="B78" s="81">
        <v>117</v>
      </c>
      <c r="C78" s="188">
        <f t="shared" si="2"/>
        <v>71</v>
      </c>
      <c r="D78" s="73" t="s">
        <v>29</v>
      </c>
      <c r="E78" s="75" t="s">
        <v>29</v>
      </c>
      <c r="F78" s="139" t="s">
        <v>260</v>
      </c>
      <c r="G78" s="55" t="s">
        <v>261</v>
      </c>
      <c r="H78" s="1185" t="str">
        <f t="shared" ref="H78:H83" si="8">H77</f>
        <v xml:space="preserve"> </v>
      </c>
      <c r="I78" s="132" t="s">
        <v>659</v>
      </c>
      <c r="J78" s="793" t="s">
        <v>262</v>
      </c>
      <c r="K78" s="135" t="s">
        <v>29</v>
      </c>
      <c r="L78" s="34" t="s">
        <v>29</v>
      </c>
      <c r="M78" s="33" t="s">
        <v>29</v>
      </c>
      <c r="N78" s="34"/>
      <c r="O78" s="33" t="s">
        <v>32</v>
      </c>
      <c r="P78" s="33"/>
      <c r="Q78" s="37">
        <v>240</v>
      </c>
      <c r="R78" s="35"/>
      <c r="S78" s="35"/>
      <c r="T78" s="36"/>
      <c r="U78" s="36"/>
      <c r="V78" s="37" t="s">
        <v>23</v>
      </c>
      <c r="W78" s="311">
        <v>14</v>
      </c>
      <c r="X78" s="178"/>
      <c r="Y78" s="70"/>
      <c r="Z78" s="37">
        <v>25</v>
      </c>
      <c r="AA78" s="68">
        <v>75</v>
      </c>
      <c r="AB78" s="210"/>
      <c r="AC78" s="135"/>
      <c r="AD78" s="34"/>
      <c r="AE78" s="34"/>
      <c r="AF78" s="34"/>
      <c r="AG78" s="34"/>
      <c r="AH78" s="34"/>
      <c r="AI78" s="34"/>
      <c r="AJ78" s="34"/>
      <c r="AK78" s="34" t="s">
        <v>32</v>
      </c>
      <c r="AL78" s="34"/>
      <c r="AM78" s="347"/>
      <c r="AN78" s="1301">
        <v>71.8</v>
      </c>
      <c r="AO78" s="8"/>
      <c r="AP78" s="38"/>
      <c r="AQ78" s="528"/>
      <c r="AR78" s="531"/>
      <c r="AS78" s="531"/>
      <c r="AT78" s="531"/>
      <c r="AU78" s="335"/>
      <c r="AV78" s="1280"/>
      <c r="AW78" s="1121"/>
      <c r="AX78" s="1121"/>
      <c r="AY78" s="1047"/>
      <c r="AZ78" s="1047"/>
      <c r="BA78" s="1047"/>
      <c r="BB78" s="1047"/>
      <c r="BC78" s="1121"/>
      <c r="BD78" s="1121"/>
      <c r="BE78" s="72"/>
      <c r="BF78" s="72"/>
      <c r="BG78" s="8"/>
      <c r="BH78" s="72"/>
      <c r="BI78" s="72"/>
      <c r="BJ78" s="72"/>
      <c r="BK78" s="72"/>
      <c r="BL78" s="72"/>
      <c r="BM78" s="72"/>
      <c r="BN78" s="72"/>
    </row>
    <row r="79" spans="1:66" s="108" customFormat="1" ht="16.149999999999999" customHeight="1" x14ac:dyDescent="0.25">
      <c r="A79" s="533">
        <f t="shared" si="7"/>
        <v>75</v>
      </c>
      <c r="B79" s="81">
        <v>42</v>
      </c>
      <c r="C79" s="188">
        <f t="shared" si="2"/>
        <v>72</v>
      </c>
      <c r="D79" s="73" t="s">
        <v>29</v>
      </c>
      <c r="E79" s="75" t="s">
        <v>29</v>
      </c>
      <c r="F79" s="139" t="s">
        <v>263</v>
      </c>
      <c r="G79" s="55" t="s">
        <v>264</v>
      </c>
      <c r="H79" s="1185" t="str">
        <f t="shared" si="8"/>
        <v xml:space="preserve"> </v>
      </c>
      <c r="I79" s="132" t="s">
        <v>660</v>
      </c>
      <c r="J79" s="793" t="s">
        <v>265</v>
      </c>
      <c r="K79" s="135" t="s">
        <v>29</v>
      </c>
      <c r="L79" s="34" t="s">
        <v>29</v>
      </c>
      <c r="M79" s="33" t="s">
        <v>29</v>
      </c>
      <c r="N79" s="34"/>
      <c r="O79" s="33" t="s">
        <v>32</v>
      </c>
      <c r="P79" s="33"/>
      <c r="Q79" s="37">
        <v>240</v>
      </c>
      <c r="R79" s="35"/>
      <c r="S79" s="35"/>
      <c r="T79" s="36"/>
      <c r="U79" s="36"/>
      <c r="V79" s="37" t="s">
        <v>23</v>
      </c>
      <c r="W79" s="311">
        <v>14</v>
      </c>
      <c r="X79" s="178"/>
      <c r="Y79" s="70"/>
      <c r="Z79" s="37">
        <v>25</v>
      </c>
      <c r="AA79" s="68">
        <v>75</v>
      </c>
      <c r="AB79" s="210"/>
      <c r="AC79" s="135"/>
      <c r="AD79" s="34"/>
      <c r="AE79" s="34"/>
      <c r="AF79" s="34"/>
      <c r="AG79" s="34"/>
      <c r="AH79" s="34"/>
      <c r="AI79" s="34"/>
      <c r="AJ79" s="34"/>
      <c r="AK79" s="34" t="s">
        <v>32</v>
      </c>
      <c r="AL79" s="34"/>
      <c r="AM79" s="347"/>
      <c r="AN79" s="1301">
        <v>75.099999999999994</v>
      </c>
      <c r="AO79" s="8"/>
      <c r="AP79" s="38"/>
      <c r="AQ79" s="528"/>
      <c r="AR79" s="531"/>
      <c r="AS79" s="531"/>
      <c r="AT79" s="531"/>
      <c r="AU79" s="335"/>
      <c r="AV79" s="1280"/>
      <c r="AW79" s="1121"/>
      <c r="AX79" s="1121"/>
      <c r="AY79" s="1047"/>
      <c r="AZ79" s="1047"/>
      <c r="BA79" s="1047"/>
      <c r="BB79" s="1047"/>
      <c r="BC79" s="1121"/>
      <c r="BD79" s="1121"/>
      <c r="BE79" s="72"/>
      <c r="BF79" s="72"/>
      <c r="BG79" s="8"/>
      <c r="BH79" s="72"/>
      <c r="BI79" s="72"/>
      <c r="BJ79" s="72"/>
      <c r="BK79" s="72"/>
      <c r="BL79" s="72"/>
      <c r="BM79" s="72"/>
      <c r="BN79" s="72"/>
    </row>
    <row r="80" spans="1:66" s="108" customFormat="1" ht="16.149999999999999" customHeight="1" x14ac:dyDescent="0.25">
      <c r="A80" s="533">
        <f t="shared" si="7"/>
        <v>76</v>
      </c>
      <c r="B80" s="81">
        <v>19</v>
      </c>
      <c r="C80" s="188">
        <f t="shared" ref="C80:C83" si="9">C79+1</f>
        <v>73</v>
      </c>
      <c r="D80" s="73" t="s">
        <v>29</v>
      </c>
      <c r="E80" s="75" t="s">
        <v>29</v>
      </c>
      <c r="F80" s="139" t="s">
        <v>266</v>
      </c>
      <c r="G80" s="55" t="s">
        <v>267</v>
      </c>
      <c r="H80" s="1185" t="str">
        <f t="shared" si="8"/>
        <v xml:space="preserve"> </v>
      </c>
      <c r="I80" s="132" t="s">
        <v>268</v>
      </c>
      <c r="J80" s="793" t="s">
        <v>269</v>
      </c>
      <c r="K80" s="135" t="s">
        <v>29</v>
      </c>
      <c r="L80" s="34" t="s">
        <v>29</v>
      </c>
      <c r="M80" s="33" t="s">
        <v>29</v>
      </c>
      <c r="N80" s="34"/>
      <c r="O80" s="33" t="s">
        <v>32</v>
      </c>
      <c r="P80" s="33"/>
      <c r="Q80" s="37">
        <v>240</v>
      </c>
      <c r="R80" s="35"/>
      <c r="S80" s="35"/>
      <c r="T80" s="36"/>
      <c r="U80" s="36"/>
      <c r="V80" s="37" t="s">
        <v>23</v>
      </c>
      <c r="W80" s="311">
        <v>14</v>
      </c>
      <c r="X80" s="178"/>
      <c r="Y80" s="70"/>
      <c r="Z80" s="37">
        <v>25</v>
      </c>
      <c r="AA80" s="68">
        <v>75</v>
      </c>
      <c r="AB80" s="210"/>
      <c r="AC80" s="135"/>
      <c r="AD80" s="34"/>
      <c r="AE80" s="34"/>
      <c r="AF80" s="34"/>
      <c r="AG80" s="34"/>
      <c r="AH80" s="34"/>
      <c r="AI80" s="34"/>
      <c r="AJ80" s="34"/>
      <c r="AK80" s="34" t="s">
        <v>32</v>
      </c>
      <c r="AL80" s="34"/>
      <c r="AM80" s="347">
        <v>12</v>
      </c>
      <c r="AN80" s="1301" t="s">
        <v>1285</v>
      </c>
      <c r="AO80" s="8"/>
      <c r="AP80" s="38"/>
      <c r="AQ80" s="528"/>
      <c r="AR80" s="531"/>
      <c r="AS80" s="531"/>
      <c r="AT80" s="531"/>
      <c r="AU80" s="335"/>
      <c r="AV80" s="1280"/>
      <c r="AW80" s="1121"/>
      <c r="AX80" s="1121"/>
      <c r="AY80" s="1047"/>
      <c r="AZ80" s="1047"/>
      <c r="BA80" s="1047"/>
      <c r="BB80" s="1047"/>
      <c r="BC80" s="1121"/>
      <c r="BD80" s="1121"/>
      <c r="BE80" s="72"/>
      <c r="BF80" s="72"/>
      <c r="BG80" s="8"/>
      <c r="BH80" s="72"/>
      <c r="BI80" s="72"/>
      <c r="BJ80" s="72"/>
      <c r="BK80" s="72"/>
      <c r="BL80" s="72"/>
      <c r="BM80" s="72"/>
      <c r="BN80" s="72"/>
    </row>
    <row r="81" spans="1:66" s="108" customFormat="1" ht="16.149999999999999" customHeight="1" x14ac:dyDescent="0.25">
      <c r="A81" s="533">
        <f t="shared" si="7"/>
        <v>77</v>
      </c>
      <c r="B81" s="81">
        <v>46</v>
      </c>
      <c r="C81" s="188">
        <f t="shared" si="9"/>
        <v>74</v>
      </c>
      <c r="D81" s="73" t="s">
        <v>29</v>
      </c>
      <c r="E81" s="75" t="s">
        <v>29</v>
      </c>
      <c r="F81" s="139" t="s">
        <v>270</v>
      </c>
      <c r="G81" s="55" t="s">
        <v>271</v>
      </c>
      <c r="H81" s="1185" t="str">
        <f>'DEGREE MARK SIMULATOR'!AI71</f>
        <v xml:space="preserve"> </v>
      </c>
      <c r="I81" s="132" t="s">
        <v>661</v>
      </c>
      <c r="J81" s="793" t="s">
        <v>272</v>
      </c>
      <c r="K81" s="135" t="s">
        <v>29</v>
      </c>
      <c r="L81" s="34" t="s">
        <v>29</v>
      </c>
      <c r="M81" s="33" t="s">
        <v>29</v>
      </c>
      <c r="N81" s="34"/>
      <c r="O81" s="33" t="s">
        <v>32</v>
      </c>
      <c r="P81" s="33"/>
      <c r="Q81" s="37">
        <v>240</v>
      </c>
      <c r="R81" s="35"/>
      <c r="S81" s="35"/>
      <c r="T81" s="36"/>
      <c r="U81" s="36"/>
      <c r="V81" s="37" t="s">
        <v>24</v>
      </c>
      <c r="W81" s="311">
        <v>15</v>
      </c>
      <c r="X81" s="178">
        <v>19</v>
      </c>
      <c r="Y81" s="70"/>
      <c r="Z81" s="37">
        <v>20</v>
      </c>
      <c r="AA81" s="68">
        <v>80</v>
      </c>
      <c r="AB81" s="210"/>
      <c r="AC81" s="135"/>
      <c r="AD81" s="34"/>
      <c r="AE81" s="34"/>
      <c r="AF81" s="34"/>
      <c r="AG81" s="34"/>
      <c r="AH81" s="34"/>
      <c r="AI81" s="34"/>
      <c r="AJ81" s="34"/>
      <c r="AK81" s="34"/>
      <c r="AL81" s="34" t="s">
        <v>32</v>
      </c>
      <c r="AM81" s="347"/>
      <c r="AN81" s="1301">
        <v>65.7</v>
      </c>
      <c r="AO81" s="8"/>
      <c r="AP81" s="38"/>
      <c r="AQ81" s="528"/>
      <c r="AR81" s="531"/>
      <c r="AS81" s="531"/>
      <c r="AT81" s="531"/>
      <c r="AU81" s="335"/>
      <c r="AV81" s="1280"/>
      <c r="AW81" s="1553"/>
      <c r="AX81" s="1553"/>
      <c r="AY81" s="1047"/>
      <c r="AZ81" s="1047"/>
      <c r="BA81" s="1047"/>
      <c r="BB81" s="1047"/>
      <c r="BC81" s="1553"/>
      <c r="BD81" s="1553"/>
      <c r="BE81" s="72"/>
      <c r="BF81" s="72"/>
      <c r="BG81" s="8"/>
      <c r="BH81" s="72"/>
      <c r="BI81" s="72"/>
      <c r="BJ81" s="72"/>
      <c r="BK81" s="72"/>
      <c r="BL81" s="72"/>
      <c r="BM81" s="72"/>
      <c r="BN81" s="72"/>
    </row>
    <row r="82" spans="1:66" s="108" customFormat="1" ht="16.149999999999999" customHeight="1" x14ac:dyDescent="0.25">
      <c r="A82" s="533">
        <f t="shared" si="7"/>
        <v>78</v>
      </c>
      <c r="B82" s="81">
        <v>128</v>
      </c>
      <c r="C82" s="188">
        <f t="shared" si="9"/>
        <v>75</v>
      </c>
      <c r="D82" s="73" t="s">
        <v>32</v>
      </c>
      <c r="E82" s="75" t="s">
        <v>29</v>
      </c>
      <c r="F82" s="139" t="s">
        <v>277</v>
      </c>
      <c r="G82" s="55" t="s">
        <v>278</v>
      </c>
      <c r="H82" s="1185" t="str">
        <f t="shared" si="8"/>
        <v xml:space="preserve"> </v>
      </c>
      <c r="I82" s="132" t="s">
        <v>662</v>
      </c>
      <c r="J82" s="793" t="s">
        <v>279</v>
      </c>
      <c r="K82" s="135" t="s">
        <v>29</v>
      </c>
      <c r="L82" s="34" t="s">
        <v>29</v>
      </c>
      <c r="M82" s="33" t="s">
        <v>29</v>
      </c>
      <c r="N82" s="34"/>
      <c r="O82" s="33" t="s">
        <v>32</v>
      </c>
      <c r="P82" s="33"/>
      <c r="Q82" s="37">
        <v>240</v>
      </c>
      <c r="R82" s="35"/>
      <c r="S82" s="35"/>
      <c r="T82" s="36"/>
      <c r="U82" s="36"/>
      <c r="V82" s="37" t="s">
        <v>24</v>
      </c>
      <c r="W82" s="311">
        <v>15</v>
      </c>
      <c r="X82" s="178"/>
      <c r="Y82" s="70"/>
      <c r="Z82" s="37">
        <v>20</v>
      </c>
      <c r="AA82" s="68">
        <v>80</v>
      </c>
      <c r="AB82" s="210"/>
      <c r="AC82" s="135"/>
      <c r="AD82" s="34"/>
      <c r="AE82" s="34"/>
      <c r="AF82" s="34"/>
      <c r="AG82" s="34"/>
      <c r="AH82" s="34"/>
      <c r="AI82" s="34"/>
      <c r="AJ82" s="34"/>
      <c r="AK82" s="34"/>
      <c r="AL82" s="34" t="s">
        <v>32</v>
      </c>
      <c r="AM82" s="347"/>
      <c r="AN82" s="1301">
        <v>79</v>
      </c>
      <c r="AO82" s="8"/>
      <c r="AP82" s="38"/>
      <c r="AQ82" s="528"/>
      <c r="AR82" s="531"/>
      <c r="AS82" s="531"/>
      <c r="AT82" s="531"/>
      <c r="AU82" s="335"/>
      <c r="AV82" s="1280"/>
      <c r="AW82" s="1121"/>
      <c r="AX82" s="1121"/>
      <c r="AY82" s="1047"/>
      <c r="AZ82" s="1047"/>
      <c r="BA82" s="1047"/>
      <c r="BB82" s="1047"/>
      <c r="BC82" s="1121"/>
      <c r="BD82" s="1121"/>
      <c r="BE82" s="72"/>
      <c r="BF82" s="72"/>
      <c r="BG82" s="8"/>
      <c r="BH82" s="72"/>
      <c r="BI82" s="72"/>
      <c r="BJ82" s="72"/>
      <c r="BK82" s="72"/>
      <c r="BL82" s="72"/>
      <c r="BM82" s="72"/>
      <c r="BN82" s="72"/>
    </row>
    <row r="83" spans="1:66" s="108" customFormat="1" ht="16.149999999999999" customHeight="1" x14ac:dyDescent="0.25">
      <c r="A83" s="533">
        <f t="shared" si="7"/>
        <v>79</v>
      </c>
      <c r="B83" s="81">
        <v>171</v>
      </c>
      <c r="C83" s="188">
        <f t="shared" si="9"/>
        <v>76</v>
      </c>
      <c r="D83" s="73"/>
      <c r="E83" s="75"/>
      <c r="F83" s="128" t="s">
        <v>280</v>
      </c>
      <c r="G83" s="105" t="s">
        <v>281</v>
      </c>
      <c r="H83" s="1185" t="str">
        <f t="shared" si="8"/>
        <v xml:space="preserve"> </v>
      </c>
      <c r="I83" s="151" t="s">
        <v>282</v>
      </c>
      <c r="J83" s="815" t="s">
        <v>283</v>
      </c>
      <c r="K83" s="135"/>
      <c r="L83" s="34"/>
      <c r="M83" s="33"/>
      <c r="N83" s="34"/>
      <c r="O83" s="33" t="s">
        <v>32</v>
      </c>
      <c r="P83" s="33"/>
      <c r="Q83" s="37">
        <v>240</v>
      </c>
      <c r="R83" s="35"/>
      <c r="S83" s="35"/>
      <c r="T83" s="36"/>
      <c r="U83" s="36"/>
      <c r="V83" s="37" t="s">
        <v>24</v>
      </c>
      <c r="W83" s="311">
        <v>15</v>
      </c>
      <c r="X83" s="90"/>
      <c r="Y83" s="70"/>
      <c r="Z83" s="37">
        <v>20</v>
      </c>
      <c r="AA83" s="68">
        <v>80</v>
      </c>
      <c r="AB83" s="210"/>
      <c r="AC83" s="135"/>
      <c r="AD83" s="34"/>
      <c r="AE83" s="34"/>
      <c r="AF83" s="34"/>
      <c r="AG83" s="34"/>
      <c r="AH83" s="34"/>
      <c r="AI83" s="34"/>
      <c r="AJ83" s="34"/>
      <c r="AK83" s="34"/>
      <c r="AL83" s="34" t="s">
        <v>32</v>
      </c>
      <c r="AM83" s="347">
        <v>3</v>
      </c>
      <c r="AN83" s="1301" t="s">
        <v>1285</v>
      </c>
      <c r="AO83" s="8"/>
      <c r="AP83" s="38"/>
      <c r="AQ83" s="528"/>
      <c r="AR83" s="531"/>
      <c r="AS83" s="531"/>
      <c r="AT83" s="531"/>
      <c r="AU83" s="335"/>
      <c r="AV83" s="1280"/>
      <c r="AW83" s="1121"/>
      <c r="AX83" s="1121"/>
      <c r="AY83" s="1047"/>
      <c r="AZ83" s="1047"/>
      <c r="BA83" s="1047"/>
      <c r="BB83" s="1047"/>
      <c r="BC83" s="1121"/>
      <c r="BD83" s="1121"/>
      <c r="BE83" s="72"/>
      <c r="BF83" s="72"/>
      <c r="BG83" s="8"/>
      <c r="BH83" s="72"/>
      <c r="BI83" s="72"/>
      <c r="BJ83" s="72"/>
      <c r="BK83" s="72"/>
      <c r="BL83" s="72"/>
      <c r="BM83" s="72"/>
      <c r="BN83" s="72"/>
    </row>
    <row r="84" spans="1:66" s="108" customFormat="1" ht="16.149999999999999" customHeight="1" x14ac:dyDescent="0.25">
      <c r="A84" s="533">
        <f t="shared" si="7"/>
        <v>80</v>
      </c>
      <c r="B84" s="761"/>
      <c r="C84" s="184" t="s">
        <v>284</v>
      </c>
      <c r="D84" s="82"/>
      <c r="E84" s="82"/>
      <c r="F84" s="101"/>
      <c r="G84" s="101"/>
      <c r="H84" s="101"/>
      <c r="I84" s="131" t="s">
        <v>636</v>
      </c>
      <c r="J84" s="112"/>
      <c r="K84" s="119"/>
      <c r="L84" s="119"/>
      <c r="M84" s="120"/>
      <c r="N84" s="119"/>
      <c r="O84" s="119"/>
      <c r="P84" s="119"/>
      <c r="Q84" s="83"/>
      <c r="R84" s="83"/>
      <c r="S84" s="84"/>
      <c r="T84" s="84"/>
      <c r="U84" s="84"/>
      <c r="V84" s="83"/>
      <c r="W84" s="236"/>
      <c r="X84" s="83"/>
      <c r="Y84" s="83"/>
      <c r="Z84" s="83"/>
      <c r="AA84" s="83"/>
      <c r="AB84" s="1215"/>
      <c r="AC84" s="83"/>
      <c r="AD84" s="83"/>
      <c r="AE84" s="83"/>
      <c r="AF84" s="83"/>
      <c r="AG84" s="83"/>
      <c r="AH84" s="83"/>
      <c r="AI84" s="83"/>
      <c r="AJ84" s="83"/>
      <c r="AK84" s="83"/>
      <c r="AL84" s="85"/>
      <c r="AM84" s="1216"/>
      <c r="AN84" s="1217"/>
      <c r="AO84" s="8"/>
      <c r="AP84" s="38"/>
      <c r="AQ84" s="528"/>
      <c r="AR84" s="531"/>
      <c r="AS84" s="531"/>
      <c r="AT84" s="531"/>
      <c r="AU84" s="335"/>
      <c r="AV84" s="1280"/>
      <c r="AW84" s="1121"/>
      <c r="AX84" s="1121"/>
      <c r="AY84" s="1047"/>
      <c r="AZ84" s="1047"/>
      <c r="BA84" s="1047"/>
      <c r="BB84" s="1047"/>
      <c r="BC84" s="1121"/>
      <c r="BD84" s="1121"/>
      <c r="BE84" s="72"/>
      <c r="BF84" s="72"/>
      <c r="BG84" s="8"/>
      <c r="BH84" s="72"/>
      <c r="BI84" s="72"/>
      <c r="BJ84" s="72"/>
      <c r="BK84" s="72"/>
      <c r="BL84" s="72"/>
      <c r="BM84" s="72"/>
      <c r="BN84" s="72"/>
    </row>
    <row r="85" spans="1:66" s="108" customFormat="1" ht="16.149999999999999" customHeight="1" x14ac:dyDescent="0.25">
      <c r="A85" s="533">
        <f t="shared" si="7"/>
        <v>81</v>
      </c>
      <c r="B85" s="81">
        <v>162</v>
      </c>
      <c r="C85" s="188">
        <v>78</v>
      </c>
      <c r="D85" s="73" t="s">
        <v>32</v>
      </c>
      <c r="E85" s="73" t="s">
        <v>29</v>
      </c>
      <c r="F85" s="139" t="s">
        <v>961</v>
      </c>
      <c r="G85" s="55" t="s">
        <v>286</v>
      </c>
      <c r="H85" s="1293" t="str">
        <f>V85</f>
        <v>PROFILE</v>
      </c>
      <c r="I85" s="132" t="s">
        <v>663</v>
      </c>
      <c r="J85" s="805" t="s">
        <v>287</v>
      </c>
      <c r="K85" s="34" t="s">
        <v>29</v>
      </c>
      <c r="L85" s="34" t="s">
        <v>29</v>
      </c>
      <c r="M85" s="33" t="s">
        <v>29</v>
      </c>
      <c r="N85" s="34"/>
      <c r="O85" s="33" t="s">
        <v>32</v>
      </c>
      <c r="P85" s="33"/>
      <c r="Q85" s="37">
        <v>220</v>
      </c>
      <c r="R85" s="35">
        <v>20</v>
      </c>
      <c r="S85" s="35"/>
      <c r="T85" s="36"/>
      <c r="U85" s="36"/>
      <c r="V85" s="37" t="s">
        <v>63</v>
      </c>
      <c r="W85" s="311">
        <v>16</v>
      </c>
      <c r="X85" s="97">
        <v>20</v>
      </c>
      <c r="Y85" s="179"/>
      <c r="Z85" s="90"/>
      <c r="AA85" s="156"/>
      <c r="AB85" s="210"/>
      <c r="AC85" s="135" t="s">
        <v>32</v>
      </c>
      <c r="AD85" s="34"/>
      <c r="AE85" s="34"/>
      <c r="AF85" s="34"/>
      <c r="AG85" s="34"/>
      <c r="AH85" s="34"/>
      <c r="AI85" s="34"/>
      <c r="AJ85" s="34"/>
      <c r="AK85" s="34"/>
      <c r="AL85" s="34"/>
      <c r="AM85" s="347">
        <v>1</v>
      </c>
      <c r="AN85" s="1301">
        <v>76.3</v>
      </c>
      <c r="AO85" s="8"/>
      <c r="AP85" s="38"/>
      <c r="AQ85" s="528"/>
      <c r="AR85" s="531"/>
      <c r="AS85" s="531"/>
      <c r="AT85" s="531"/>
      <c r="AU85" s="335"/>
      <c r="AV85" s="1280"/>
      <c r="AW85" s="1121"/>
      <c r="AX85" s="1121"/>
      <c r="AY85" s="1047"/>
      <c r="AZ85" s="1047"/>
      <c r="BA85" s="1047"/>
      <c r="BB85" s="1047"/>
      <c r="BC85" s="1121"/>
      <c r="BD85" s="1121"/>
      <c r="BE85" s="72"/>
      <c r="BF85" s="72"/>
      <c r="BG85" s="8"/>
      <c r="BH85" s="72"/>
      <c r="BI85" s="72"/>
      <c r="BJ85" s="72"/>
      <c r="BK85" s="72"/>
      <c r="BL85" s="72"/>
      <c r="BM85" s="72"/>
      <c r="BN85" s="72"/>
    </row>
    <row r="86" spans="1:66" s="108" customFormat="1" ht="16.149999999999999" customHeight="1" x14ac:dyDescent="0.25">
      <c r="A86" s="533">
        <f t="shared" si="7"/>
        <v>82</v>
      </c>
      <c r="B86" s="81">
        <v>185</v>
      </c>
      <c r="C86" s="188">
        <v>79</v>
      </c>
      <c r="D86" s="73" t="s">
        <v>29</v>
      </c>
      <c r="E86" s="73" t="s">
        <v>29</v>
      </c>
      <c r="F86" s="139" t="s">
        <v>962</v>
      </c>
      <c r="G86" s="55" t="s">
        <v>289</v>
      </c>
      <c r="H86" s="1185" t="str">
        <f>'DEGREE MARK SIMULATOR'!AI72</f>
        <v xml:space="preserve"> </v>
      </c>
      <c r="I86" s="132" t="s">
        <v>290</v>
      </c>
      <c r="J86" s="793" t="s">
        <v>291</v>
      </c>
      <c r="K86" s="34" t="s">
        <v>29</v>
      </c>
      <c r="L86" s="34" t="s">
        <v>29</v>
      </c>
      <c r="M86" s="33" t="s">
        <v>29</v>
      </c>
      <c r="N86" s="34"/>
      <c r="O86" s="33" t="s">
        <v>32</v>
      </c>
      <c r="P86" s="33"/>
      <c r="Q86" s="37">
        <v>220</v>
      </c>
      <c r="R86" s="35">
        <v>20</v>
      </c>
      <c r="S86" s="35"/>
      <c r="T86" s="36"/>
      <c r="U86" s="36"/>
      <c r="V86" s="37" t="s">
        <v>20</v>
      </c>
      <c r="W86" s="311">
        <v>17</v>
      </c>
      <c r="X86" s="178">
        <v>21</v>
      </c>
      <c r="Y86" s="70"/>
      <c r="Z86" s="37">
        <v>33</v>
      </c>
      <c r="AA86" s="68">
        <v>67</v>
      </c>
      <c r="AB86" s="210"/>
      <c r="AC86" s="135"/>
      <c r="AD86" s="34"/>
      <c r="AE86" s="34"/>
      <c r="AF86" s="34"/>
      <c r="AG86" s="34"/>
      <c r="AH86" s="34" t="s">
        <v>32</v>
      </c>
      <c r="AI86" s="34"/>
      <c r="AJ86" s="34"/>
      <c r="AK86" s="34"/>
      <c r="AL86" s="34"/>
      <c r="AM86" s="347">
        <v>1</v>
      </c>
      <c r="AN86" s="1301">
        <v>70.5</v>
      </c>
      <c r="AO86" s="8"/>
      <c r="AP86" s="38"/>
      <c r="AQ86" s="528"/>
      <c r="AR86" s="531"/>
      <c r="AS86" s="531"/>
      <c r="AT86" s="531"/>
      <c r="AU86" s="335"/>
      <c r="AV86" s="1280"/>
      <c r="AW86" s="1553"/>
      <c r="AX86" s="1553"/>
      <c r="AY86" s="1047"/>
      <c r="AZ86" s="1047"/>
      <c r="BA86" s="1047"/>
      <c r="BB86" s="1047"/>
      <c r="BC86" s="1553"/>
      <c r="BD86" s="1553"/>
      <c r="BE86" s="72"/>
      <c r="BF86" s="72"/>
      <c r="BG86" s="8"/>
      <c r="BH86" s="72"/>
      <c r="BI86" s="72"/>
      <c r="BJ86" s="72"/>
      <c r="BK86" s="72"/>
      <c r="BL86" s="72"/>
      <c r="BM86" s="72"/>
      <c r="BN86" s="72"/>
    </row>
    <row r="87" spans="1:66" s="108" customFormat="1" ht="16.149999999999999" customHeight="1" x14ac:dyDescent="0.25">
      <c r="A87" s="533">
        <f t="shared" si="7"/>
        <v>83</v>
      </c>
      <c r="B87" s="81">
        <v>122</v>
      </c>
      <c r="C87" s="188">
        <v>80</v>
      </c>
      <c r="D87" s="73" t="s">
        <v>29</v>
      </c>
      <c r="E87" s="73" t="s">
        <v>29</v>
      </c>
      <c r="F87" s="139" t="s">
        <v>963</v>
      </c>
      <c r="G87" s="55" t="s">
        <v>293</v>
      </c>
      <c r="H87" s="1185" t="str">
        <f>'DEGREE MARK SIMULATOR'!AI73</f>
        <v xml:space="preserve"> </v>
      </c>
      <c r="I87" s="132" t="s">
        <v>664</v>
      </c>
      <c r="J87" s="793" t="s">
        <v>294</v>
      </c>
      <c r="K87" s="34" t="s">
        <v>29</v>
      </c>
      <c r="L87" s="34" t="s">
        <v>29</v>
      </c>
      <c r="M87" s="33" t="s">
        <v>32</v>
      </c>
      <c r="N87" s="34"/>
      <c r="O87" s="33" t="s">
        <v>32</v>
      </c>
      <c r="P87" s="33"/>
      <c r="Q87" s="37">
        <v>210</v>
      </c>
      <c r="R87" s="35">
        <v>30</v>
      </c>
      <c r="S87" s="35"/>
      <c r="T87" s="36"/>
      <c r="U87" s="36"/>
      <c r="V87" s="37" t="s">
        <v>16</v>
      </c>
      <c r="W87" s="311">
        <v>18</v>
      </c>
      <c r="X87" s="178">
        <v>22</v>
      </c>
      <c r="Y87" s="70"/>
      <c r="Z87" s="37">
        <v>50</v>
      </c>
      <c r="AA87" s="68">
        <v>50</v>
      </c>
      <c r="AB87" s="210"/>
      <c r="AC87" s="135"/>
      <c r="AD87" s="34"/>
      <c r="AE87" s="34" t="s">
        <v>32</v>
      </c>
      <c r="AF87" s="34"/>
      <c r="AG87" s="34"/>
      <c r="AH87" s="34"/>
      <c r="AI87" s="34"/>
      <c r="AJ87" s="34"/>
      <c r="AK87" s="34"/>
      <c r="AL87" s="34"/>
      <c r="AM87" s="347">
        <v>1</v>
      </c>
      <c r="AN87" s="1301">
        <v>75.7</v>
      </c>
      <c r="AO87" s="8"/>
      <c r="AP87" s="38"/>
      <c r="AQ87" s="528"/>
      <c r="AR87" s="531"/>
      <c r="AS87" s="531"/>
      <c r="AT87" s="531"/>
      <c r="AU87" s="335"/>
      <c r="AV87" s="1280"/>
      <c r="AW87" s="1553"/>
      <c r="AX87" s="1553"/>
      <c r="AY87" s="1047"/>
      <c r="AZ87" s="1047"/>
      <c r="BA87" s="1047"/>
      <c r="BB87" s="1047"/>
      <c r="BC87" s="1553"/>
      <c r="BD87" s="1553"/>
      <c r="BE87" s="72"/>
      <c r="BF87" s="72"/>
      <c r="BG87" s="8"/>
      <c r="BH87" s="72"/>
      <c r="BI87" s="72"/>
      <c r="BJ87" s="72"/>
      <c r="BK87" s="72"/>
      <c r="BL87" s="72"/>
      <c r="BM87" s="72"/>
      <c r="BN87" s="72"/>
    </row>
    <row r="88" spans="1:66" ht="16.149999999999999" customHeight="1" x14ac:dyDescent="0.25">
      <c r="A88" s="533">
        <f>A19+1</f>
        <v>16</v>
      </c>
      <c r="B88" s="81">
        <v>186</v>
      </c>
      <c r="C88" s="188">
        <f>C19+1</f>
        <v>13</v>
      </c>
      <c r="D88" s="73" t="s">
        <v>29</v>
      </c>
      <c r="E88" s="75" t="s">
        <v>29</v>
      </c>
      <c r="F88" s="139" t="s">
        <v>141</v>
      </c>
      <c r="G88" s="55" t="s">
        <v>142</v>
      </c>
      <c r="H88" s="1185" t="str">
        <f>'DEGREE MARK SIMULATOR'!AI74</f>
        <v xml:space="preserve"> </v>
      </c>
      <c r="I88" s="132" t="s">
        <v>621</v>
      </c>
      <c r="J88" s="793" t="s">
        <v>706</v>
      </c>
      <c r="K88" s="135" t="s">
        <v>29</v>
      </c>
      <c r="L88" s="34" t="s">
        <v>29</v>
      </c>
      <c r="M88" s="33" t="s">
        <v>32</v>
      </c>
      <c r="N88" s="34"/>
      <c r="O88" s="33" t="s">
        <v>32</v>
      </c>
      <c r="P88" s="33"/>
      <c r="Q88" s="37">
        <v>240</v>
      </c>
      <c r="R88" s="35">
        <v>30</v>
      </c>
      <c r="S88" s="35"/>
      <c r="T88" s="36"/>
      <c r="U88" s="36">
        <v>30</v>
      </c>
      <c r="V88" s="1033" t="s">
        <v>17</v>
      </c>
      <c r="W88" s="175">
        <v>19</v>
      </c>
      <c r="X88" s="195">
        <v>23</v>
      </c>
      <c r="Y88" s="203"/>
      <c r="Z88" s="176"/>
      <c r="AA88" s="206"/>
      <c r="AB88" s="210"/>
      <c r="AC88" s="135"/>
      <c r="AD88" s="34" t="s">
        <v>32</v>
      </c>
      <c r="AE88" s="34"/>
      <c r="AF88" s="34"/>
      <c r="AG88" s="34"/>
      <c r="AH88" s="34"/>
      <c r="AI88" s="34"/>
      <c r="AJ88" s="34"/>
      <c r="AK88" s="34"/>
      <c r="AL88" s="34"/>
      <c r="AM88" s="347">
        <v>1</v>
      </c>
      <c r="AN88" s="1301">
        <v>76.400000000000006</v>
      </c>
      <c r="AO88" s="8"/>
      <c r="AP88" s="38"/>
      <c r="AQ88" s="528"/>
      <c r="AR88" s="531"/>
      <c r="AS88" s="531"/>
      <c r="AT88" s="531"/>
      <c r="AU88" s="458"/>
      <c r="AV88" s="1278"/>
      <c r="AW88" s="1553"/>
      <c r="AX88" s="1553"/>
      <c r="AY88" s="1047"/>
      <c r="AZ88" s="1047"/>
      <c r="BA88" s="1047"/>
      <c r="BB88" s="1047"/>
      <c r="BC88" s="1578"/>
      <c r="BD88" s="1578"/>
      <c r="BG88" s="8"/>
    </row>
    <row r="89" spans="1:66" s="108" customFormat="1" ht="16.149999999999999" customHeight="1" x14ac:dyDescent="0.25">
      <c r="A89" s="533">
        <f>A87+1</f>
        <v>84</v>
      </c>
      <c r="B89" s="81">
        <v>45</v>
      </c>
      <c r="C89" s="188">
        <v>81</v>
      </c>
      <c r="D89" s="73" t="s">
        <v>29</v>
      </c>
      <c r="E89" s="73" t="s">
        <v>29</v>
      </c>
      <c r="F89" s="139" t="s">
        <v>295</v>
      </c>
      <c r="G89" s="55" t="s">
        <v>296</v>
      </c>
      <c r="H89" s="1185" t="str">
        <f>'DEGREE MARK SIMULATOR'!AI75</f>
        <v xml:space="preserve"> </v>
      </c>
      <c r="I89" s="132" t="s">
        <v>297</v>
      </c>
      <c r="J89" s="793" t="s">
        <v>298</v>
      </c>
      <c r="K89" s="34" t="s">
        <v>29</v>
      </c>
      <c r="L89" s="34" t="s">
        <v>29</v>
      </c>
      <c r="M89" s="33" t="s">
        <v>29</v>
      </c>
      <c r="N89" s="34"/>
      <c r="O89" s="33" t="s">
        <v>32</v>
      </c>
      <c r="P89" s="33"/>
      <c r="Q89" s="37">
        <v>210</v>
      </c>
      <c r="R89" s="35">
        <v>30</v>
      </c>
      <c r="S89" s="35"/>
      <c r="T89" s="36">
        <v>15</v>
      </c>
      <c r="U89" s="36">
        <v>15</v>
      </c>
      <c r="V89" s="37" t="s">
        <v>23</v>
      </c>
      <c r="W89" s="311">
        <v>20</v>
      </c>
      <c r="X89" s="178">
        <v>24</v>
      </c>
      <c r="Y89" s="70"/>
      <c r="Z89" s="37">
        <v>25</v>
      </c>
      <c r="AA89" s="68">
        <v>75</v>
      </c>
      <c r="AB89" s="210"/>
      <c r="AC89" s="135"/>
      <c r="AD89" s="34"/>
      <c r="AE89" s="34"/>
      <c r="AF89" s="34"/>
      <c r="AG89" s="34"/>
      <c r="AH89" s="34"/>
      <c r="AI89" s="34"/>
      <c r="AJ89" s="34"/>
      <c r="AK89" s="34" t="s">
        <v>32</v>
      </c>
      <c r="AL89" s="34"/>
      <c r="AM89" s="347">
        <v>1</v>
      </c>
      <c r="AN89" s="1301">
        <v>75.099999999999994</v>
      </c>
      <c r="AO89" s="8"/>
      <c r="AP89" s="38"/>
      <c r="AQ89" s="528"/>
      <c r="AR89" s="531"/>
      <c r="AS89" s="531"/>
      <c r="AT89" s="531"/>
      <c r="AU89" s="335"/>
      <c r="AV89" s="1280"/>
      <c r="AW89" s="1553"/>
      <c r="AX89" s="1553"/>
      <c r="AY89" s="1047"/>
      <c r="AZ89" s="1047"/>
      <c r="BA89" s="1047"/>
      <c r="BB89" s="1047"/>
      <c r="BC89" s="1553"/>
      <c r="BD89" s="1553"/>
      <c r="BE89" s="72"/>
      <c r="BF89" s="72"/>
      <c r="BG89" s="8"/>
      <c r="BH89" s="72"/>
      <c r="BI89" s="72"/>
      <c r="BJ89" s="72"/>
      <c r="BK89" s="72"/>
      <c r="BL89" s="72"/>
      <c r="BM89" s="72"/>
      <c r="BN89" s="72"/>
    </row>
    <row r="90" spans="1:66" s="108" customFormat="1" ht="16.149999999999999" customHeight="1" x14ac:dyDescent="0.25">
      <c r="A90" s="533">
        <f t="shared" si="7"/>
        <v>85</v>
      </c>
      <c r="B90" s="81">
        <v>65</v>
      </c>
      <c r="C90" s="188">
        <v>82</v>
      </c>
      <c r="D90" s="73" t="s">
        <v>29</v>
      </c>
      <c r="E90" s="73" t="s">
        <v>29</v>
      </c>
      <c r="F90" s="139" t="s">
        <v>299</v>
      </c>
      <c r="G90" s="55" t="s">
        <v>300</v>
      </c>
      <c r="H90" s="1185" t="str">
        <f>'DEGREE MARK SIMULATOR'!AI76</f>
        <v xml:space="preserve"> </v>
      </c>
      <c r="I90" s="132" t="s">
        <v>665</v>
      </c>
      <c r="J90" s="793" t="s">
        <v>301</v>
      </c>
      <c r="K90" s="34" t="s">
        <v>29</v>
      </c>
      <c r="L90" s="34" t="s">
        <v>29</v>
      </c>
      <c r="M90" s="33" t="s">
        <v>29</v>
      </c>
      <c r="N90" s="34"/>
      <c r="O90" s="33" t="s">
        <v>32</v>
      </c>
      <c r="P90" s="33"/>
      <c r="Q90" s="37">
        <v>210</v>
      </c>
      <c r="R90" s="35">
        <v>30</v>
      </c>
      <c r="S90" s="35"/>
      <c r="T90" s="36"/>
      <c r="U90" s="36">
        <v>30</v>
      </c>
      <c r="V90" s="37" t="s">
        <v>24</v>
      </c>
      <c r="W90" s="311">
        <v>21</v>
      </c>
      <c r="X90" s="178">
        <v>25</v>
      </c>
      <c r="Y90" s="70"/>
      <c r="Z90" s="37">
        <v>20</v>
      </c>
      <c r="AA90" s="68">
        <v>80</v>
      </c>
      <c r="AB90" s="210"/>
      <c r="AC90" s="135"/>
      <c r="AD90" s="34"/>
      <c r="AE90" s="34"/>
      <c r="AF90" s="34"/>
      <c r="AG90" s="34"/>
      <c r="AH90" s="34"/>
      <c r="AI90" s="34"/>
      <c r="AJ90" s="34"/>
      <c r="AK90" s="34"/>
      <c r="AL90" s="34" t="s">
        <v>32</v>
      </c>
      <c r="AM90" s="347"/>
      <c r="AN90" s="1301">
        <v>77</v>
      </c>
      <c r="AO90" s="8"/>
      <c r="AP90" s="38"/>
      <c r="AQ90" s="528"/>
      <c r="AR90" s="531"/>
      <c r="AS90" s="531"/>
      <c r="AT90" s="531"/>
      <c r="AU90" s="335"/>
      <c r="AV90" s="1280"/>
      <c r="AW90" s="1553"/>
      <c r="AX90" s="1553"/>
      <c r="AY90" s="1047"/>
      <c r="AZ90" s="1047"/>
      <c r="BA90" s="1047"/>
      <c r="BB90" s="1047"/>
      <c r="BC90" s="1553"/>
      <c r="BD90" s="1553"/>
      <c r="BE90" s="72"/>
      <c r="BF90" s="72"/>
      <c r="BG90" s="8"/>
      <c r="BH90" s="72"/>
      <c r="BI90" s="72"/>
      <c r="BJ90" s="72"/>
      <c r="BK90" s="72"/>
      <c r="BL90" s="72"/>
      <c r="BM90" s="72"/>
      <c r="BN90" s="72"/>
    </row>
    <row r="91" spans="1:66" s="108" customFormat="1" ht="16.149999999999999" customHeight="1" x14ac:dyDescent="0.25">
      <c r="A91" s="533">
        <f t="shared" si="7"/>
        <v>86</v>
      </c>
      <c r="B91" s="81">
        <v>83</v>
      </c>
      <c r="C91" s="188">
        <v>83</v>
      </c>
      <c r="D91" s="73" t="s">
        <v>29</v>
      </c>
      <c r="E91" s="73" t="s">
        <v>29</v>
      </c>
      <c r="F91" s="139" t="s">
        <v>302</v>
      </c>
      <c r="G91" s="55" t="s">
        <v>303</v>
      </c>
      <c r="H91" s="1185" t="str">
        <f>'DEGREE MARK SIMULATOR'!AI77</f>
        <v xml:space="preserve"> </v>
      </c>
      <c r="I91" s="132" t="s">
        <v>304</v>
      </c>
      <c r="J91" s="793" t="s">
        <v>305</v>
      </c>
      <c r="K91" s="34" t="s">
        <v>29</v>
      </c>
      <c r="L91" s="34" t="s">
        <v>29</v>
      </c>
      <c r="M91" s="33" t="s">
        <v>29</v>
      </c>
      <c r="N91" s="34"/>
      <c r="O91" s="33" t="s">
        <v>32</v>
      </c>
      <c r="P91" s="33"/>
      <c r="Q91" s="37">
        <v>210</v>
      </c>
      <c r="R91" s="35">
        <v>30</v>
      </c>
      <c r="S91" s="35"/>
      <c r="T91" s="36">
        <v>15</v>
      </c>
      <c r="U91" s="36">
        <v>15</v>
      </c>
      <c r="V91" s="37" t="s">
        <v>24</v>
      </c>
      <c r="W91" s="311">
        <v>21</v>
      </c>
      <c r="X91" s="178">
        <v>26</v>
      </c>
      <c r="Y91" s="70"/>
      <c r="Z91" s="37">
        <v>20</v>
      </c>
      <c r="AA91" s="68">
        <v>80</v>
      </c>
      <c r="AB91" s="210"/>
      <c r="AC91" s="135"/>
      <c r="AD91" s="34"/>
      <c r="AE91" s="34"/>
      <c r="AF91" s="34"/>
      <c r="AG91" s="34"/>
      <c r="AH91" s="34"/>
      <c r="AI91" s="34"/>
      <c r="AJ91" s="34"/>
      <c r="AK91" s="34"/>
      <c r="AL91" s="34" t="s">
        <v>32</v>
      </c>
      <c r="AM91" s="347">
        <v>2</v>
      </c>
      <c r="AN91" s="1301">
        <v>72.5</v>
      </c>
      <c r="AO91" s="8"/>
      <c r="AP91" s="38"/>
      <c r="AQ91" s="528"/>
      <c r="AR91" s="531"/>
      <c r="AS91" s="531"/>
      <c r="AT91" s="531"/>
      <c r="AU91" s="335"/>
      <c r="AV91" s="1280"/>
      <c r="AW91" s="1553"/>
      <c r="AX91" s="1553"/>
      <c r="AY91" s="1047"/>
      <c r="AZ91" s="1047"/>
      <c r="BA91" s="1047"/>
      <c r="BB91" s="1047"/>
      <c r="BC91" s="1553"/>
      <c r="BD91" s="1553"/>
      <c r="BE91" s="72"/>
      <c r="BF91" s="72"/>
      <c r="BG91" s="8"/>
      <c r="BH91" s="72"/>
      <c r="BI91" s="72"/>
      <c r="BJ91" s="72"/>
      <c r="BK91" s="72"/>
      <c r="BL91" s="72"/>
      <c r="BM91" s="72"/>
      <c r="BN91" s="72"/>
    </row>
    <row r="92" spans="1:66" s="108" customFormat="1" ht="16.149999999999999" customHeight="1" x14ac:dyDescent="0.25">
      <c r="A92" s="533">
        <f t="shared" si="7"/>
        <v>87</v>
      </c>
      <c r="B92" s="81">
        <v>33</v>
      </c>
      <c r="C92" s="188">
        <v>84</v>
      </c>
      <c r="D92" s="73" t="s">
        <v>29</v>
      </c>
      <c r="E92" s="73" t="s">
        <v>29</v>
      </c>
      <c r="F92" s="139" t="s">
        <v>306</v>
      </c>
      <c r="G92" s="55" t="s">
        <v>307</v>
      </c>
      <c r="H92" s="1185" t="str">
        <f>'DEGREE MARK SIMULATOR'!AI78</f>
        <v xml:space="preserve"> </v>
      </c>
      <c r="I92" s="132" t="s">
        <v>666</v>
      </c>
      <c r="J92" s="793" t="s">
        <v>308</v>
      </c>
      <c r="K92" s="34" t="s">
        <v>29</v>
      </c>
      <c r="L92" s="34" t="s">
        <v>29</v>
      </c>
      <c r="M92" s="33" t="s">
        <v>29</v>
      </c>
      <c r="N92" s="34"/>
      <c r="O92" s="33" t="s">
        <v>32</v>
      </c>
      <c r="P92" s="33"/>
      <c r="Q92" s="37">
        <v>200</v>
      </c>
      <c r="R92" s="35">
        <v>40</v>
      </c>
      <c r="S92" s="35"/>
      <c r="T92" s="36">
        <v>20</v>
      </c>
      <c r="U92" s="36">
        <v>20</v>
      </c>
      <c r="V92" s="37" t="s">
        <v>18</v>
      </c>
      <c r="W92" s="311">
        <v>22</v>
      </c>
      <c r="X92" s="178">
        <v>27</v>
      </c>
      <c r="Y92" s="70"/>
      <c r="Z92" s="37">
        <v>40</v>
      </c>
      <c r="AA92" s="68">
        <v>60</v>
      </c>
      <c r="AB92" s="210"/>
      <c r="AC92" s="135"/>
      <c r="AD92" s="34"/>
      <c r="AE92" s="34"/>
      <c r="AF92" s="34" t="s">
        <v>32</v>
      </c>
      <c r="AG92" s="34"/>
      <c r="AH92" s="34"/>
      <c r="AI92" s="34"/>
      <c r="AJ92" s="34"/>
      <c r="AK92" s="34"/>
      <c r="AL92" s="34"/>
      <c r="AM92" s="347"/>
      <c r="AN92" s="1301">
        <v>68.8</v>
      </c>
      <c r="AO92" s="8"/>
      <c r="AP92" s="38"/>
      <c r="AQ92" s="528"/>
      <c r="AR92" s="531"/>
      <c r="AS92" s="531"/>
      <c r="AT92" s="531"/>
      <c r="AU92" s="335"/>
      <c r="AV92" s="1280"/>
      <c r="AW92" s="1553"/>
      <c r="AX92" s="1553"/>
      <c r="AY92" s="1047"/>
      <c r="AZ92" s="1047"/>
      <c r="BA92" s="1047"/>
      <c r="BB92" s="1047"/>
      <c r="BC92" s="1553"/>
      <c r="BD92" s="1553"/>
      <c r="BE92" s="72"/>
      <c r="BF92" s="72"/>
      <c r="BG92" s="8"/>
      <c r="BH92" s="72"/>
      <c r="BI92" s="72"/>
      <c r="BJ92" s="72"/>
      <c r="BK92" s="72"/>
      <c r="BL92" s="72"/>
      <c r="BM92" s="72"/>
      <c r="BN92" s="72"/>
    </row>
    <row r="93" spans="1:66" s="108" customFormat="1" ht="16.149999999999999" customHeight="1" x14ac:dyDescent="0.25">
      <c r="A93" s="533">
        <f t="shared" si="7"/>
        <v>88</v>
      </c>
      <c r="B93" s="81">
        <v>52</v>
      </c>
      <c r="C93" s="188">
        <v>85</v>
      </c>
      <c r="D93" s="73" t="s">
        <v>29</v>
      </c>
      <c r="E93" s="73" t="s">
        <v>29</v>
      </c>
      <c r="F93" s="139" t="s">
        <v>309</v>
      </c>
      <c r="G93" s="55" t="s">
        <v>310</v>
      </c>
      <c r="H93" s="1185" t="str">
        <f t="shared" ref="H93" si="10">H94</f>
        <v xml:space="preserve"> </v>
      </c>
      <c r="I93" s="132" t="s">
        <v>667</v>
      </c>
      <c r="J93" s="793" t="s">
        <v>311</v>
      </c>
      <c r="K93" s="34" t="s">
        <v>29</v>
      </c>
      <c r="L93" s="34" t="s">
        <v>29</v>
      </c>
      <c r="M93" s="33" t="s">
        <v>29</v>
      </c>
      <c r="N93" s="34"/>
      <c r="O93" s="33" t="s">
        <v>32</v>
      </c>
      <c r="P93" s="33"/>
      <c r="Q93" s="37">
        <v>200</v>
      </c>
      <c r="R93" s="35">
        <v>40</v>
      </c>
      <c r="S93" s="35"/>
      <c r="T93" s="36">
        <v>20</v>
      </c>
      <c r="U93" s="36">
        <v>20</v>
      </c>
      <c r="V93" s="37" t="s">
        <v>18</v>
      </c>
      <c r="W93" s="311">
        <v>22</v>
      </c>
      <c r="X93" s="178"/>
      <c r="Y93" s="70"/>
      <c r="Z93" s="37">
        <v>40</v>
      </c>
      <c r="AA93" s="68">
        <v>60</v>
      </c>
      <c r="AB93" s="210"/>
      <c r="AC93" s="135"/>
      <c r="AD93" s="34"/>
      <c r="AE93" s="34"/>
      <c r="AF93" s="34" t="s">
        <v>32</v>
      </c>
      <c r="AG93" s="34"/>
      <c r="AH93" s="34"/>
      <c r="AI93" s="34"/>
      <c r="AJ93" s="34"/>
      <c r="AK93" s="34"/>
      <c r="AL93" s="34"/>
      <c r="AM93" s="347"/>
      <c r="AN93" s="1301">
        <v>74</v>
      </c>
      <c r="AO93" s="8"/>
      <c r="AP93" s="38"/>
      <c r="AQ93" s="528"/>
      <c r="AR93" s="531"/>
      <c r="AS93" s="531"/>
      <c r="AT93" s="531"/>
      <c r="AU93" s="335"/>
      <c r="AV93" s="1280"/>
      <c r="AW93" s="1121"/>
      <c r="AX93" s="1121"/>
      <c r="AY93" s="1047"/>
      <c r="AZ93" s="1047"/>
      <c r="BA93" s="1047"/>
      <c r="BB93" s="1047"/>
      <c r="BC93" s="1121"/>
      <c r="BD93" s="1121"/>
      <c r="BE93" s="72"/>
      <c r="BF93" s="72"/>
      <c r="BG93" s="8"/>
      <c r="BH93" s="72"/>
      <c r="BI93" s="72"/>
      <c r="BJ93" s="72"/>
      <c r="BK93" s="72"/>
      <c r="BL93" s="72"/>
      <c r="BM93" s="72"/>
      <c r="BN93" s="72"/>
    </row>
    <row r="94" spans="1:66" s="108" customFormat="1" ht="16.149999999999999" customHeight="1" x14ac:dyDescent="0.25">
      <c r="A94" s="533">
        <f t="shared" si="7"/>
        <v>89</v>
      </c>
      <c r="B94" s="81">
        <v>126</v>
      </c>
      <c r="C94" s="188">
        <v>86</v>
      </c>
      <c r="D94" s="73" t="s">
        <v>29</v>
      </c>
      <c r="E94" s="73" t="s">
        <v>29</v>
      </c>
      <c r="F94" s="139" t="s">
        <v>312</v>
      </c>
      <c r="G94" s="55" t="s">
        <v>313</v>
      </c>
      <c r="H94" s="1185" t="str">
        <f>H95</f>
        <v xml:space="preserve"> </v>
      </c>
      <c r="I94" s="132" t="s">
        <v>314</v>
      </c>
      <c r="J94" s="793" t="s">
        <v>315</v>
      </c>
      <c r="K94" s="34" t="s">
        <v>29</v>
      </c>
      <c r="L94" s="34" t="s">
        <v>29</v>
      </c>
      <c r="M94" s="33" t="s">
        <v>29</v>
      </c>
      <c r="N94" s="34"/>
      <c r="O94" s="33" t="s">
        <v>32</v>
      </c>
      <c r="P94" s="33"/>
      <c r="Q94" s="37">
        <v>200</v>
      </c>
      <c r="R94" s="35">
        <v>40</v>
      </c>
      <c r="S94" s="35"/>
      <c r="T94" s="36">
        <v>20</v>
      </c>
      <c r="U94" s="36">
        <v>20</v>
      </c>
      <c r="V94" s="37" t="s">
        <v>18</v>
      </c>
      <c r="W94" s="311">
        <v>22</v>
      </c>
      <c r="X94" s="178"/>
      <c r="Y94" s="70"/>
      <c r="Z94" s="37">
        <v>40</v>
      </c>
      <c r="AA94" s="68">
        <v>60</v>
      </c>
      <c r="AB94" s="210"/>
      <c r="AC94" s="135"/>
      <c r="AD94" s="34"/>
      <c r="AE94" s="34"/>
      <c r="AF94" s="34" t="s">
        <v>32</v>
      </c>
      <c r="AG94" s="34"/>
      <c r="AH94" s="34"/>
      <c r="AI94" s="34"/>
      <c r="AJ94" s="34"/>
      <c r="AK94" s="34"/>
      <c r="AL94" s="34"/>
      <c r="AM94" s="347">
        <v>3</v>
      </c>
      <c r="AN94" s="1301">
        <v>75</v>
      </c>
      <c r="AO94" s="8"/>
      <c r="AP94" s="38"/>
      <c r="AQ94" s="528"/>
      <c r="AR94" s="531"/>
      <c r="AS94" s="531"/>
      <c r="AT94" s="531"/>
      <c r="AU94" s="335"/>
      <c r="AV94" s="1280"/>
      <c r="AW94" s="1121"/>
      <c r="AX94" s="1121"/>
      <c r="AY94" s="1047"/>
      <c r="AZ94" s="1047"/>
      <c r="BA94" s="1047"/>
      <c r="BB94" s="1047"/>
      <c r="BC94" s="1121"/>
      <c r="BD94" s="1121"/>
      <c r="BE94" s="72"/>
      <c r="BF94" s="72"/>
      <c r="BG94" s="8"/>
      <c r="BH94" s="72"/>
      <c r="BI94" s="72"/>
      <c r="BJ94" s="72"/>
      <c r="BK94" s="72"/>
      <c r="BL94" s="72"/>
      <c r="BM94" s="72"/>
      <c r="BN94" s="72"/>
    </row>
    <row r="95" spans="1:66" s="108" customFormat="1" ht="16.149999999999999" customHeight="1" x14ac:dyDescent="0.25">
      <c r="A95" s="533">
        <f t="shared" si="7"/>
        <v>90</v>
      </c>
      <c r="B95" s="81">
        <v>183</v>
      </c>
      <c r="C95" s="188">
        <v>87</v>
      </c>
      <c r="D95" s="73" t="s">
        <v>29</v>
      </c>
      <c r="E95" s="73" t="s">
        <v>29</v>
      </c>
      <c r="F95" s="139" t="s">
        <v>316</v>
      </c>
      <c r="G95" s="55" t="s">
        <v>317</v>
      </c>
      <c r="H95" s="1185" t="str">
        <f>'DEGREE MARK SIMULATOR'!AI79</f>
        <v xml:space="preserve"> </v>
      </c>
      <c r="I95" s="132" t="s">
        <v>668</v>
      </c>
      <c r="J95" s="793" t="s">
        <v>318</v>
      </c>
      <c r="K95" s="34" t="s">
        <v>29</v>
      </c>
      <c r="L95" s="34" t="s">
        <v>29</v>
      </c>
      <c r="M95" s="33" t="s">
        <v>29</v>
      </c>
      <c r="N95" s="34"/>
      <c r="O95" s="33" t="s">
        <v>32</v>
      </c>
      <c r="P95" s="33"/>
      <c r="Q95" s="37">
        <v>200</v>
      </c>
      <c r="R95" s="35">
        <v>40</v>
      </c>
      <c r="S95" s="35"/>
      <c r="T95" s="36">
        <v>20</v>
      </c>
      <c r="U95" s="36">
        <v>20</v>
      </c>
      <c r="V95" s="37" t="s">
        <v>19</v>
      </c>
      <c r="W95" s="311">
        <v>23</v>
      </c>
      <c r="X95" s="178">
        <v>28</v>
      </c>
      <c r="Y95" s="70"/>
      <c r="Z95" s="37">
        <v>35</v>
      </c>
      <c r="AA95" s="68">
        <v>65</v>
      </c>
      <c r="AB95" s="210"/>
      <c r="AC95" s="135"/>
      <c r="AD95" s="34"/>
      <c r="AE95" s="34"/>
      <c r="AF95" s="34"/>
      <c r="AG95" s="34" t="s">
        <v>32</v>
      </c>
      <c r="AH95" s="34"/>
      <c r="AI95" s="34"/>
      <c r="AJ95" s="34"/>
      <c r="AK95" s="34"/>
      <c r="AL95" s="34"/>
      <c r="AM95" s="347">
        <v>1</v>
      </c>
      <c r="AN95" s="1301">
        <v>74.3</v>
      </c>
      <c r="AO95" s="8"/>
      <c r="AP95" s="38"/>
      <c r="AQ95" s="528"/>
      <c r="AR95" s="531"/>
      <c r="AS95" s="531"/>
      <c r="AT95" s="531"/>
      <c r="AU95" s="335"/>
      <c r="AV95" s="1280"/>
      <c r="AW95" s="1553"/>
      <c r="AX95" s="1553"/>
      <c r="AY95" s="1047"/>
      <c r="AZ95" s="1047"/>
      <c r="BA95" s="1047"/>
      <c r="BB95" s="1047"/>
      <c r="BC95" s="1553"/>
      <c r="BD95" s="1553"/>
      <c r="BE95" s="72"/>
      <c r="BF95" s="72"/>
      <c r="BG95" s="8"/>
      <c r="BH95" s="72"/>
      <c r="BI95" s="72"/>
      <c r="BJ95" s="72"/>
      <c r="BK95" s="72"/>
      <c r="BL95" s="72"/>
      <c r="BM95" s="72"/>
      <c r="BN95" s="72"/>
    </row>
    <row r="96" spans="1:66" s="108" customFormat="1" ht="16.149999999999999" customHeight="1" x14ac:dyDescent="0.25">
      <c r="A96" s="533">
        <f t="shared" si="7"/>
        <v>91</v>
      </c>
      <c r="B96" s="81">
        <v>36</v>
      </c>
      <c r="C96" s="188">
        <v>88</v>
      </c>
      <c r="D96" s="73" t="s">
        <v>29</v>
      </c>
      <c r="E96" s="73" t="s">
        <v>29</v>
      </c>
      <c r="F96" s="139" t="s">
        <v>319</v>
      </c>
      <c r="G96" s="55" t="s">
        <v>320</v>
      </c>
      <c r="H96" s="1185" t="str">
        <f>'DEGREE MARK SIMULATOR'!AI80</f>
        <v xml:space="preserve"> </v>
      </c>
      <c r="I96" s="132" t="s">
        <v>669</v>
      </c>
      <c r="J96" s="793" t="s">
        <v>709</v>
      </c>
      <c r="K96" s="34" t="s">
        <v>29</v>
      </c>
      <c r="L96" s="34" t="s">
        <v>29</v>
      </c>
      <c r="M96" s="33" t="s">
        <v>29</v>
      </c>
      <c r="N96" s="34"/>
      <c r="O96" s="33" t="s">
        <v>32</v>
      </c>
      <c r="P96" s="33"/>
      <c r="Q96" s="37">
        <v>200</v>
      </c>
      <c r="R96" s="35">
        <v>40</v>
      </c>
      <c r="S96" s="35"/>
      <c r="T96" s="36">
        <v>20</v>
      </c>
      <c r="U96" s="36">
        <v>20</v>
      </c>
      <c r="V96" s="37" t="s">
        <v>20</v>
      </c>
      <c r="W96" s="311">
        <v>24</v>
      </c>
      <c r="X96" s="178">
        <v>29</v>
      </c>
      <c r="Y96" s="70"/>
      <c r="Z96" s="37">
        <v>33</v>
      </c>
      <c r="AA96" s="68">
        <v>67</v>
      </c>
      <c r="AB96" s="210"/>
      <c r="AC96" s="135"/>
      <c r="AD96" s="34"/>
      <c r="AE96" s="34"/>
      <c r="AF96" s="34"/>
      <c r="AG96" s="34"/>
      <c r="AH96" s="34" t="s">
        <v>32</v>
      </c>
      <c r="AI96" s="34"/>
      <c r="AJ96" s="34"/>
      <c r="AK96" s="34"/>
      <c r="AL96" s="34"/>
      <c r="AM96" s="347"/>
      <c r="AN96" s="1301">
        <v>69.7</v>
      </c>
      <c r="AO96" s="8"/>
      <c r="AP96" s="38"/>
      <c r="AQ96" s="528"/>
      <c r="AR96" s="531"/>
      <c r="AS96" s="531"/>
      <c r="AT96" s="531"/>
      <c r="AU96" s="335"/>
      <c r="AV96" s="1280"/>
      <c r="AW96" s="1553"/>
      <c r="AX96" s="1553"/>
      <c r="AY96" s="1047"/>
      <c r="AZ96" s="1047"/>
      <c r="BA96" s="1047"/>
      <c r="BB96" s="1047"/>
      <c r="BC96" s="1553"/>
      <c r="BD96" s="1553"/>
      <c r="BE96" s="72"/>
      <c r="BF96" s="72"/>
      <c r="BG96" s="8"/>
      <c r="BH96" s="72"/>
      <c r="BI96" s="72"/>
      <c r="BJ96" s="72"/>
      <c r="BK96" s="72"/>
      <c r="BL96" s="72"/>
      <c r="BM96" s="72"/>
      <c r="BN96" s="72"/>
    </row>
    <row r="97" spans="1:66" s="108" customFormat="1" ht="16.149999999999999" customHeight="1" x14ac:dyDescent="0.25">
      <c r="A97" s="533">
        <f t="shared" si="7"/>
        <v>92</v>
      </c>
      <c r="B97" s="81">
        <v>74</v>
      </c>
      <c r="C97" s="188">
        <v>89</v>
      </c>
      <c r="D97" s="73" t="s">
        <v>29</v>
      </c>
      <c r="E97" s="73" t="s">
        <v>29</v>
      </c>
      <c r="F97" s="139" t="s">
        <v>321</v>
      </c>
      <c r="G97" s="55" t="s">
        <v>322</v>
      </c>
      <c r="H97" s="1185" t="str">
        <f t="shared" ref="H97:H98" si="11">H98</f>
        <v xml:space="preserve"> </v>
      </c>
      <c r="I97" s="132" t="s">
        <v>323</v>
      </c>
      <c r="J97" s="793" t="s">
        <v>710</v>
      </c>
      <c r="K97" s="34" t="s">
        <v>29</v>
      </c>
      <c r="L97" s="34" t="s">
        <v>29</v>
      </c>
      <c r="M97" s="33" t="s">
        <v>29</v>
      </c>
      <c r="N97" s="34"/>
      <c r="O97" s="33" t="s">
        <v>32</v>
      </c>
      <c r="P97" s="33"/>
      <c r="Q97" s="37">
        <v>200</v>
      </c>
      <c r="R97" s="35">
        <v>40</v>
      </c>
      <c r="S97" s="35"/>
      <c r="T97" s="36">
        <v>20</v>
      </c>
      <c r="U97" s="36">
        <v>20</v>
      </c>
      <c r="V97" s="37" t="s">
        <v>20</v>
      </c>
      <c r="W97" s="311">
        <v>24</v>
      </c>
      <c r="X97" s="178"/>
      <c r="Y97" s="70"/>
      <c r="Z97" s="37">
        <v>33</v>
      </c>
      <c r="AA97" s="68">
        <v>67</v>
      </c>
      <c r="AB97" s="210"/>
      <c r="AC97" s="135"/>
      <c r="AD97" s="34"/>
      <c r="AE97" s="34"/>
      <c r="AF97" s="34"/>
      <c r="AG97" s="34"/>
      <c r="AH97" s="34" t="s">
        <v>32</v>
      </c>
      <c r="AI97" s="34"/>
      <c r="AJ97" s="34"/>
      <c r="AK97" s="34"/>
      <c r="AL97" s="34"/>
      <c r="AM97" s="347"/>
      <c r="AN97" s="1301">
        <v>74.599999999999994</v>
      </c>
      <c r="AO97" s="8"/>
      <c r="AP97" s="38"/>
      <c r="AQ97" s="528"/>
      <c r="AR97" s="531"/>
      <c r="AS97" s="531"/>
      <c r="AT97" s="531"/>
      <c r="AU97" s="335"/>
      <c r="AV97" s="1280"/>
      <c r="AW97" s="1121"/>
      <c r="AX97" s="1121"/>
      <c r="AY97" s="1047"/>
      <c r="AZ97" s="1047"/>
      <c r="BA97" s="1047"/>
      <c r="BB97" s="1047"/>
      <c r="BC97" s="1121"/>
      <c r="BD97" s="1121"/>
      <c r="BE97" s="72"/>
      <c r="BF97" s="72"/>
      <c r="BG97" s="8"/>
      <c r="BH97" s="72"/>
      <c r="BI97" s="72"/>
      <c r="BJ97" s="72"/>
      <c r="BK97" s="72"/>
      <c r="BL97" s="72"/>
      <c r="BM97" s="72"/>
      <c r="BN97" s="72"/>
    </row>
    <row r="98" spans="1:66" s="108" customFormat="1" ht="16.149999999999999" customHeight="1" x14ac:dyDescent="0.25">
      <c r="A98" s="533">
        <f t="shared" si="7"/>
        <v>93</v>
      </c>
      <c r="B98" s="81">
        <v>180</v>
      </c>
      <c r="C98" s="188">
        <v>90</v>
      </c>
      <c r="D98" s="73" t="s">
        <v>29</v>
      </c>
      <c r="E98" s="73" t="s">
        <v>32</v>
      </c>
      <c r="F98" s="139" t="s">
        <v>324</v>
      </c>
      <c r="G98" s="55" t="s">
        <v>325</v>
      </c>
      <c r="H98" s="1185" t="str">
        <f t="shared" si="11"/>
        <v xml:space="preserve"> </v>
      </c>
      <c r="I98" s="132" t="s">
        <v>326</v>
      </c>
      <c r="J98" s="793" t="s">
        <v>327</v>
      </c>
      <c r="K98" s="34" t="s">
        <v>29</v>
      </c>
      <c r="L98" s="34" t="s">
        <v>29</v>
      </c>
      <c r="M98" s="33" t="s">
        <v>29</v>
      </c>
      <c r="N98" s="34"/>
      <c r="O98" s="33" t="s">
        <v>32</v>
      </c>
      <c r="P98" s="33"/>
      <c r="Q98" s="37">
        <v>200</v>
      </c>
      <c r="R98" s="35">
        <v>40</v>
      </c>
      <c r="S98" s="35"/>
      <c r="T98" s="36">
        <v>20</v>
      </c>
      <c r="U98" s="36">
        <v>20</v>
      </c>
      <c r="V98" s="37" t="s">
        <v>20</v>
      </c>
      <c r="W98" s="311">
        <v>24</v>
      </c>
      <c r="X98" s="178"/>
      <c r="Y98" s="70"/>
      <c r="Z98" s="37">
        <v>33</v>
      </c>
      <c r="AA98" s="68">
        <v>67</v>
      </c>
      <c r="AB98" s="210"/>
      <c r="AC98" s="135"/>
      <c r="AD98" s="34"/>
      <c r="AE98" s="34"/>
      <c r="AF98" s="34"/>
      <c r="AG98" s="34"/>
      <c r="AH98" s="34" t="s">
        <v>32</v>
      </c>
      <c r="AI98" s="34"/>
      <c r="AJ98" s="34"/>
      <c r="AK98" s="34"/>
      <c r="AL98" s="34"/>
      <c r="AM98" s="347">
        <v>3</v>
      </c>
      <c r="AN98" s="1301">
        <v>72.900000000000006</v>
      </c>
      <c r="AO98" s="8"/>
      <c r="AP98" s="38"/>
      <c r="AQ98" s="528"/>
      <c r="AR98" s="531"/>
      <c r="AS98" s="531"/>
      <c r="AT98" s="531"/>
      <c r="AU98" s="335"/>
      <c r="AV98" s="1280"/>
      <c r="AW98" s="1121"/>
      <c r="AX98" s="1121"/>
      <c r="AY98" s="1047"/>
      <c r="AZ98" s="1047"/>
      <c r="BA98" s="1047"/>
      <c r="BB98" s="1047"/>
      <c r="BC98" s="1121"/>
      <c r="BD98" s="1121"/>
      <c r="BE98" s="72"/>
      <c r="BF98" s="72"/>
      <c r="BG98" s="8"/>
      <c r="BH98" s="72"/>
      <c r="BI98" s="72"/>
      <c r="BJ98" s="72"/>
      <c r="BK98" s="72"/>
      <c r="BL98" s="72"/>
      <c r="BM98" s="72"/>
      <c r="BN98" s="72"/>
    </row>
    <row r="99" spans="1:66" s="108" customFormat="1" ht="16.149999999999999" customHeight="1" x14ac:dyDescent="0.25">
      <c r="A99" s="533">
        <f t="shared" si="7"/>
        <v>94</v>
      </c>
      <c r="B99" s="81">
        <v>14</v>
      </c>
      <c r="C99" s="188">
        <v>91</v>
      </c>
      <c r="D99" s="73" t="s">
        <v>29</v>
      </c>
      <c r="E99" s="73" t="s">
        <v>29</v>
      </c>
      <c r="F99" s="139" t="s">
        <v>328</v>
      </c>
      <c r="G99" s="55" t="s">
        <v>329</v>
      </c>
      <c r="H99" s="1185" t="str">
        <f>'DEGREE MARK SIMULATOR'!AI81</f>
        <v xml:space="preserve"> </v>
      </c>
      <c r="I99" s="132" t="s">
        <v>330</v>
      </c>
      <c r="J99" s="793" t="s">
        <v>744</v>
      </c>
      <c r="K99" s="34" t="s">
        <v>29</v>
      </c>
      <c r="L99" s="34" t="s">
        <v>29</v>
      </c>
      <c r="M99" s="33" t="s">
        <v>29</v>
      </c>
      <c r="N99" s="34"/>
      <c r="O99" s="33" t="s">
        <v>32</v>
      </c>
      <c r="P99" s="33"/>
      <c r="Q99" s="37">
        <v>200</v>
      </c>
      <c r="R99" s="35">
        <v>40</v>
      </c>
      <c r="S99" s="35"/>
      <c r="T99" s="36">
        <v>20</v>
      </c>
      <c r="U99" s="36">
        <v>20</v>
      </c>
      <c r="V99" s="37" t="s">
        <v>22</v>
      </c>
      <c r="W99" s="311">
        <v>25</v>
      </c>
      <c r="X99" s="178">
        <v>30</v>
      </c>
      <c r="Y99" s="70"/>
      <c r="Z99" s="37">
        <v>30</v>
      </c>
      <c r="AA99" s="68">
        <v>70</v>
      </c>
      <c r="AB99" s="210"/>
      <c r="AC99" s="135"/>
      <c r="AD99" s="34"/>
      <c r="AE99" s="34"/>
      <c r="AF99" s="34"/>
      <c r="AG99" s="34"/>
      <c r="AH99" s="34"/>
      <c r="AI99" s="34"/>
      <c r="AJ99" s="34" t="s">
        <v>32</v>
      </c>
      <c r="AK99" s="34"/>
      <c r="AL99" s="34"/>
      <c r="AM99" s="347"/>
      <c r="AN99" s="1301">
        <v>78.8</v>
      </c>
      <c r="AO99" s="8"/>
      <c r="AP99" s="38"/>
      <c r="AQ99" s="528"/>
      <c r="AR99" s="531"/>
      <c r="AS99" s="531"/>
      <c r="AT99" s="531"/>
      <c r="AU99" s="335"/>
      <c r="AV99" s="1280"/>
      <c r="AW99" s="1553"/>
      <c r="AX99" s="1553"/>
      <c r="AY99" s="1047"/>
      <c r="AZ99" s="1047"/>
      <c r="BA99" s="1047"/>
      <c r="BB99" s="1047"/>
      <c r="BC99" s="1553"/>
      <c r="BD99" s="1553"/>
      <c r="BE99" s="72"/>
      <c r="BF99" s="72"/>
      <c r="BG99" s="8"/>
      <c r="BH99" s="72"/>
      <c r="BI99" s="72"/>
      <c r="BJ99" s="72"/>
      <c r="BK99" s="72"/>
      <c r="BL99" s="72"/>
      <c r="BM99" s="72"/>
      <c r="BN99" s="72"/>
    </row>
    <row r="100" spans="1:66" s="108" customFormat="1" ht="16.149999999999999" customHeight="1" x14ac:dyDescent="0.25">
      <c r="A100" s="533">
        <f t="shared" si="7"/>
        <v>95</v>
      </c>
      <c r="B100" s="81">
        <v>34</v>
      </c>
      <c r="C100" s="188">
        <v>92</v>
      </c>
      <c r="D100" s="73" t="s">
        <v>29</v>
      </c>
      <c r="E100" s="73" t="s">
        <v>32</v>
      </c>
      <c r="F100" s="139" t="s">
        <v>331</v>
      </c>
      <c r="G100" s="55" t="s">
        <v>332</v>
      </c>
      <c r="H100" s="1185" t="str">
        <f>H99</f>
        <v xml:space="preserve"> </v>
      </c>
      <c r="I100" s="132" t="s">
        <v>670</v>
      </c>
      <c r="J100" s="793" t="s">
        <v>333</v>
      </c>
      <c r="K100" s="34" t="s">
        <v>29</v>
      </c>
      <c r="L100" s="34" t="s">
        <v>29</v>
      </c>
      <c r="M100" s="33" t="s">
        <v>29</v>
      </c>
      <c r="N100" s="34"/>
      <c r="O100" s="33" t="s">
        <v>32</v>
      </c>
      <c r="P100" s="33"/>
      <c r="Q100" s="37">
        <v>200</v>
      </c>
      <c r="R100" s="35">
        <v>40</v>
      </c>
      <c r="S100" s="35"/>
      <c r="T100" s="36">
        <v>20</v>
      </c>
      <c r="U100" s="36">
        <v>20</v>
      </c>
      <c r="V100" s="37" t="s">
        <v>22</v>
      </c>
      <c r="W100" s="311">
        <v>25</v>
      </c>
      <c r="X100" s="178"/>
      <c r="Y100" s="70"/>
      <c r="Z100" s="37">
        <v>30</v>
      </c>
      <c r="AA100" s="68">
        <v>70</v>
      </c>
      <c r="AB100" s="210"/>
      <c r="AC100" s="135"/>
      <c r="AD100" s="34"/>
      <c r="AE100" s="34"/>
      <c r="AF100" s="34"/>
      <c r="AG100" s="34"/>
      <c r="AH100" s="34"/>
      <c r="AI100" s="34"/>
      <c r="AJ100" s="34" t="s">
        <v>32</v>
      </c>
      <c r="AK100" s="34"/>
      <c r="AL100" s="34"/>
      <c r="AM100" s="347"/>
      <c r="AN100" s="1301">
        <v>67.400000000000006</v>
      </c>
      <c r="AO100" s="8"/>
      <c r="AP100" s="38"/>
      <c r="AQ100" s="528"/>
      <c r="AR100" s="531"/>
      <c r="AS100" s="531"/>
      <c r="AT100" s="531"/>
      <c r="AU100" s="335"/>
      <c r="AV100" s="1280"/>
      <c r="AW100" s="1121"/>
      <c r="AX100" s="1121"/>
      <c r="AY100" s="1047"/>
      <c r="AZ100" s="1047"/>
      <c r="BA100" s="1047"/>
      <c r="BB100" s="1047"/>
      <c r="BC100" s="1121"/>
      <c r="BD100" s="1121"/>
      <c r="BE100" s="72"/>
      <c r="BF100" s="72"/>
      <c r="BG100" s="8"/>
      <c r="BH100" s="72"/>
      <c r="BI100" s="72"/>
      <c r="BJ100" s="72"/>
      <c r="BK100" s="72"/>
      <c r="BL100" s="72"/>
      <c r="BM100" s="72"/>
      <c r="BN100" s="72"/>
    </row>
    <row r="101" spans="1:66" s="108" customFormat="1" ht="16.149999999999999" customHeight="1" x14ac:dyDescent="0.25">
      <c r="A101" s="533">
        <f t="shared" si="7"/>
        <v>96</v>
      </c>
      <c r="B101" s="81">
        <v>43</v>
      </c>
      <c r="C101" s="188">
        <v>93</v>
      </c>
      <c r="D101" s="73" t="s">
        <v>29</v>
      </c>
      <c r="E101" s="73" t="s">
        <v>29</v>
      </c>
      <c r="F101" s="139" t="s">
        <v>334</v>
      </c>
      <c r="G101" s="55" t="s">
        <v>335</v>
      </c>
      <c r="H101" s="1185" t="str">
        <f t="shared" ref="H101:H103" si="12">H100</f>
        <v xml:space="preserve"> </v>
      </c>
      <c r="I101" s="132" t="s">
        <v>671</v>
      </c>
      <c r="J101" s="793" t="s">
        <v>711</v>
      </c>
      <c r="K101" s="34" t="s">
        <v>29</v>
      </c>
      <c r="L101" s="34" t="s">
        <v>29</v>
      </c>
      <c r="M101" s="33" t="s">
        <v>29</v>
      </c>
      <c r="N101" s="34"/>
      <c r="O101" s="33" t="s">
        <v>32</v>
      </c>
      <c r="P101" s="33"/>
      <c r="Q101" s="37">
        <v>200</v>
      </c>
      <c r="R101" s="35">
        <v>40</v>
      </c>
      <c r="S101" s="35"/>
      <c r="T101" s="36">
        <v>20</v>
      </c>
      <c r="U101" s="36">
        <v>20</v>
      </c>
      <c r="V101" s="37" t="s">
        <v>22</v>
      </c>
      <c r="W101" s="311">
        <v>25</v>
      </c>
      <c r="X101" s="178"/>
      <c r="Y101" s="70"/>
      <c r="Z101" s="37">
        <v>30</v>
      </c>
      <c r="AA101" s="68">
        <v>70</v>
      </c>
      <c r="AB101" s="210"/>
      <c r="AC101" s="135"/>
      <c r="AD101" s="34"/>
      <c r="AE101" s="34"/>
      <c r="AF101" s="34"/>
      <c r="AG101" s="34"/>
      <c r="AH101" s="34"/>
      <c r="AI101" s="34"/>
      <c r="AJ101" s="34" t="s">
        <v>32</v>
      </c>
      <c r="AK101" s="34"/>
      <c r="AL101" s="34"/>
      <c r="AM101" s="347"/>
      <c r="AN101" s="1301">
        <v>67.400000000000006</v>
      </c>
      <c r="AO101" s="8"/>
      <c r="AP101" s="38"/>
      <c r="AQ101" s="528"/>
      <c r="AR101" s="531"/>
      <c r="AS101" s="531"/>
      <c r="AT101" s="531"/>
      <c r="AU101" s="335"/>
      <c r="AV101" s="1280"/>
      <c r="AW101" s="1121"/>
      <c r="AX101" s="1121"/>
      <c r="AY101" s="1047"/>
      <c r="AZ101" s="1047"/>
      <c r="BA101" s="1047"/>
      <c r="BB101" s="1047"/>
      <c r="BC101" s="1121"/>
      <c r="BD101" s="1121"/>
      <c r="BE101" s="72"/>
      <c r="BF101" s="72"/>
      <c r="BG101" s="8"/>
      <c r="BH101" s="72"/>
      <c r="BI101" s="72"/>
      <c r="BJ101" s="72"/>
      <c r="BK101" s="72"/>
      <c r="BL101" s="72"/>
      <c r="BM101" s="72"/>
      <c r="BN101" s="72"/>
    </row>
    <row r="102" spans="1:66" s="108" customFormat="1" ht="16.149999999999999" customHeight="1" x14ac:dyDescent="0.25">
      <c r="A102" s="533">
        <f t="shared" si="7"/>
        <v>97</v>
      </c>
      <c r="B102" s="81">
        <v>156</v>
      </c>
      <c r="C102" s="188">
        <v>94</v>
      </c>
      <c r="D102" s="73" t="s">
        <v>29</v>
      </c>
      <c r="E102" s="73" t="s">
        <v>29</v>
      </c>
      <c r="F102" s="139" t="s">
        <v>336</v>
      </c>
      <c r="G102" s="55" t="s">
        <v>337</v>
      </c>
      <c r="H102" s="1185" t="str">
        <f t="shared" si="12"/>
        <v xml:space="preserve"> </v>
      </c>
      <c r="I102" s="132" t="s">
        <v>672</v>
      </c>
      <c r="J102" s="793" t="s">
        <v>712</v>
      </c>
      <c r="K102" s="34" t="s">
        <v>29</v>
      </c>
      <c r="L102" s="34" t="s">
        <v>29</v>
      </c>
      <c r="M102" s="33" t="s">
        <v>29</v>
      </c>
      <c r="N102" s="34"/>
      <c r="O102" s="33" t="s">
        <v>32</v>
      </c>
      <c r="P102" s="33"/>
      <c r="Q102" s="37">
        <v>200</v>
      </c>
      <c r="R102" s="35">
        <v>40</v>
      </c>
      <c r="S102" s="35"/>
      <c r="T102" s="36">
        <v>20</v>
      </c>
      <c r="U102" s="36">
        <v>20</v>
      </c>
      <c r="V102" s="37" t="s">
        <v>22</v>
      </c>
      <c r="W102" s="311">
        <v>25</v>
      </c>
      <c r="X102" s="178"/>
      <c r="Y102" s="70"/>
      <c r="Z102" s="37">
        <v>30</v>
      </c>
      <c r="AA102" s="68">
        <v>70</v>
      </c>
      <c r="AB102" s="210"/>
      <c r="AC102" s="135"/>
      <c r="AD102" s="34"/>
      <c r="AE102" s="34"/>
      <c r="AF102" s="34"/>
      <c r="AG102" s="34"/>
      <c r="AH102" s="34"/>
      <c r="AI102" s="34"/>
      <c r="AJ102" s="34" t="s">
        <v>32</v>
      </c>
      <c r="AK102" s="34"/>
      <c r="AL102" s="34"/>
      <c r="AM102" s="347"/>
      <c r="AN102" s="1301">
        <v>71.3</v>
      </c>
      <c r="AO102" s="8"/>
      <c r="AP102" s="38"/>
      <c r="AQ102" s="528"/>
      <c r="AR102" s="531"/>
      <c r="AS102" s="531"/>
      <c r="AT102" s="531"/>
      <c r="AU102" s="335"/>
      <c r="AV102" s="1280"/>
      <c r="AW102" s="1121"/>
      <c r="AX102" s="1121"/>
      <c r="AY102" s="1047"/>
      <c r="AZ102" s="1047"/>
      <c r="BA102" s="1047"/>
      <c r="BB102" s="1047"/>
      <c r="BC102" s="1121"/>
      <c r="BD102" s="1121"/>
      <c r="BE102" s="72"/>
      <c r="BF102" s="72"/>
      <c r="BG102" s="8"/>
      <c r="BH102" s="72"/>
      <c r="BI102" s="72"/>
      <c r="BJ102" s="72"/>
      <c r="BK102" s="72"/>
      <c r="BL102" s="72"/>
      <c r="BM102" s="72"/>
      <c r="BN102" s="72"/>
    </row>
    <row r="103" spans="1:66" s="108" customFormat="1" ht="16.149999999999999" customHeight="1" x14ac:dyDescent="0.25">
      <c r="A103" s="533">
        <f t="shared" si="7"/>
        <v>98</v>
      </c>
      <c r="B103" s="81">
        <v>170</v>
      </c>
      <c r="C103" s="188">
        <v>95</v>
      </c>
      <c r="D103" s="73" t="s">
        <v>29</v>
      </c>
      <c r="E103" s="73" t="s">
        <v>29</v>
      </c>
      <c r="F103" s="139" t="s">
        <v>338</v>
      </c>
      <c r="G103" s="55" t="s">
        <v>339</v>
      </c>
      <c r="H103" s="1185" t="str">
        <f t="shared" si="12"/>
        <v xml:space="preserve"> </v>
      </c>
      <c r="I103" s="132" t="s">
        <v>673</v>
      </c>
      <c r="J103" s="793" t="s">
        <v>340</v>
      </c>
      <c r="K103" s="34" t="s">
        <v>29</v>
      </c>
      <c r="L103" s="34" t="s">
        <v>29</v>
      </c>
      <c r="M103" s="33" t="s">
        <v>29</v>
      </c>
      <c r="N103" s="34"/>
      <c r="O103" s="33" t="s">
        <v>32</v>
      </c>
      <c r="P103" s="33"/>
      <c r="Q103" s="37">
        <v>200</v>
      </c>
      <c r="R103" s="35">
        <v>40</v>
      </c>
      <c r="S103" s="35"/>
      <c r="T103" s="36">
        <v>20</v>
      </c>
      <c r="U103" s="36">
        <v>20</v>
      </c>
      <c r="V103" s="37" t="s">
        <v>22</v>
      </c>
      <c r="W103" s="311">
        <v>25</v>
      </c>
      <c r="X103" s="178"/>
      <c r="Y103" s="70"/>
      <c r="Z103" s="37">
        <v>30</v>
      </c>
      <c r="AA103" s="68">
        <v>70</v>
      </c>
      <c r="AB103" s="210"/>
      <c r="AC103" s="135"/>
      <c r="AD103" s="34"/>
      <c r="AE103" s="34"/>
      <c r="AF103" s="34"/>
      <c r="AG103" s="34"/>
      <c r="AH103" s="34"/>
      <c r="AI103" s="34"/>
      <c r="AJ103" s="34" t="s">
        <v>32</v>
      </c>
      <c r="AK103" s="34"/>
      <c r="AL103" s="34"/>
      <c r="AM103" s="347">
        <v>5</v>
      </c>
      <c r="AN103" s="1301">
        <v>68</v>
      </c>
      <c r="AO103" s="8"/>
      <c r="AP103" s="38"/>
      <c r="AQ103" s="528"/>
      <c r="AR103" s="531"/>
      <c r="AS103" s="531"/>
      <c r="AT103" s="531"/>
      <c r="AU103" s="335"/>
      <c r="AV103" s="1280"/>
      <c r="AW103" s="1121"/>
      <c r="AX103" s="1121"/>
      <c r="AY103" s="1047"/>
      <c r="AZ103" s="1047"/>
      <c r="BA103" s="1047"/>
      <c r="BB103" s="1047"/>
      <c r="BC103" s="1121"/>
      <c r="BD103" s="1121"/>
      <c r="BE103" s="72"/>
      <c r="BF103" s="72"/>
      <c r="BG103" s="8"/>
      <c r="BH103" s="72"/>
      <c r="BI103" s="72"/>
      <c r="BJ103" s="72"/>
      <c r="BK103" s="72"/>
      <c r="BL103" s="72"/>
      <c r="BM103" s="72"/>
      <c r="BN103" s="72"/>
    </row>
    <row r="104" spans="1:66" s="108" customFormat="1" ht="16.149999999999999" customHeight="1" x14ac:dyDescent="0.25">
      <c r="A104" s="533">
        <f t="shared" si="7"/>
        <v>99</v>
      </c>
      <c r="B104" s="81">
        <v>69</v>
      </c>
      <c r="C104" s="188">
        <v>96</v>
      </c>
      <c r="D104" s="73" t="s">
        <v>29</v>
      </c>
      <c r="E104" s="73" t="s">
        <v>29</v>
      </c>
      <c r="F104" s="139" t="s">
        <v>341</v>
      </c>
      <c r="G104" s="55" t="s">
        <v>342</v>
      </c>
      <c r="H104" s="1185" t="str">
        <f>H105</f>
        <v xml:space="preserve"> </v>
      </c>
      <c r="I104" s="132" t="s">
        <v>343</v>
      </c>
      <c r="J104" s="1245" t="s">
        <v>1291</v>
      </c>
      <c r="K104" s="34" t="s">
        <v>29</v>
      </c>
      <c r="L104" s="34" t="s">
        <v>29</v>
      </c>
      <c r="M104" s="33" t="s">
        <v>29</v>
      </c>
      <c r="N104" s="34"/>
      <c r="O104" s="33" t="s">
        <v>32</v>
      </c>
      <c r="P104" s="33"/>
      <c r="Q104" s="37">
        <v>200</v>
      </c>
      <c r="R104" s="35">
        <v>40</v>
      </c>
      <c r="S104" s="35"/>
      <c r="T104" s="36">
        <v>20</v>
      </c>
      <c r="U104" s="36">
        <v>20</v>
      </c>
      <c r="V104" s="37" t="s">
        <v>23</v>
      </c>
      <c r="W104" s="311">
        <v>26</v>
      </c>
      <c r="X104" s="178">
        <v>31</v>
      </c>
      <c r="Y104" s="70"/>
      <c r="Z104" s="37">
        <v>25</v>
      </c>
      <c r="AA104" s="68">
        <v>75</v>
      </c>
      <c r="AB104" s="210"/>
      <c r="AC104" s="135"/>
      <c r="AD104" s="34"/>
      <c r="AE104" s="34"/>
      <c r="AF104" s="34"/>
      <c r="AG104" s="34"/>
      <c r="AH104" s="34"/>
      <c r="AI104" s="34"/>
      <c r="AJ104" s="34"/>
      <c r="AK104" s="34" t="s">
        <v>32</v>
      </c>
      <c r="AL104" s="34"/>
      <c r="AM104" s="347">
        <v>2</v>
      </c>
      <c r="AN104" s="1301" t="s">
        <v>1285</v>
      </c>
      <c r="AO104" s="8"/>
      <c r="AP104" s="38"/>
      <c r="AQ104" s="528"/>
      <c r="AR104" s="531"/>
      <c r="AS104" s="531"/>
      <c r="AT104" s="531"/>
      <c r="AU104" s="335"/>
      <c r="AV104" s="1280"/>
      <c r="AW104" s="1121"/>
      <c r="AX104" s="1121"/>
      <c r="AY104" s="1047"/>
      <c r="AZ104" s="1047"/>
      <c r="BA104" s="1047"/>
      <c r="BB104" s="1047"/>
      <c r="BC104" s="1121"/>
      <c r="BD104" s="1121"/>
      <c r="BE104" s="72"/>
      <c r="BF104" s="72"/>
      <c r="BG104" s="8"/>
      <c r="BH104" s="72"/>
      <c r="BI104" s="72"/>
      <c r="BJ104" s="72"/>
      <c r="BK104" s="72"/>
      <c r="BL104" s="72"/>
      <c r="BM104" s="72"/>
      <c r="BN104" s="72"/>
    </row>
    <row r="105" spans="1:66" s="108" customFormat="1" ht="16.149999999999999" customHeight="1" x14ac:dyDescent="0.25">
      <c r="A105" s="533">
        <f t="shared" si="7"/>
        <v>100</v>
      </c>
      <c r="B105" s="81">
        <v>89</v>
      </c>
      <c r="C105" s="188">
        <v>97</v>
      </c>
      <c r="D105" s="73" t="s">
        <v>29</v>
      </c>
      <c r="E105" s="73" t="s">
        <v>29</v>
      </c>
      <c r="F105" s="139" t="s">
        <v>357</v>
      </c>
      <c r="G105" s="55" t="s">
        <v>358</v>
      </c>
      <c r="H105" s="1185" t="str">
        <f>'DEGREE MARK SIMULATOR'!AI82</f>
        <v xml:space="preserve"> </v>
      </c>
      <c r="I105" s="1244" t="s">
        <v>674</v>
      </c>
      <c r="J105" s="1245" t="s">
        <v>1291</v>
      </c>
      <c r="K105" s="34" t="s">
        <v>29</v>
      </c>
      <c r="L105" s="34" t="s">
        <v>29</v>
      </c>
      <c r="M105" s="33" t="s">
        <v>29</v>
      </c>
      <c r="N105" s="34"/>
      <c r="O105" s="33" t="s">
        <v>32</v>
      </c>
      <c r="P105" s="33"/>
      <c r="Q105" s="37">
        <v>200</v>
      </c>
      <c r="R105" s="35">
        <v>40</v>
      </c>
      <c r="S105" s="35"/>
      <c r="T105" s="36">
        <v>20</v>
      </c>
      <c r="U105" s="36">
        <v>20</v>
      </c>
      <c r="V105" s="37" t="s">
        <v>23</v>
      </c>
      <c r="W105" s="311">
        <v>26</v>
      </c>
      <c r="X105" s="178"/>
      <c r="Y105" s="70"/>
      <c r="Z105" s="37">
        <v>25</v>
      </c>
      <c r="AA105" s="68">
        <v>75</v>
      </c>
      <c r="AB105" s="210"/>
      <c r="AC105" s="135"/>
      <c r="AD105" s="34"/>
      <c r="AE105" s="34"/>
      <c r="AF105" s="34"/>
      <c r="AG105" s="34"/>
      <c r="AH105" s="34"/>
      <c r="AI105" s="34"/>
      <c r="AJ105" s="34"/>
      <c r="AK105" s="34" t="s">
        <v>32</v>
      </c>
      <c r="AL105" s="34"/>
      <c r="AM105" s="347"/>
      <c r="AN105" s="1301">
        <v>75.400000000000006</v>
      </c>
      <c r="AO105" s="8"/>
      <c r="AP105" s="38"/>
      <c r="AQ105" s="528"/>
      <c r="AR105" s="531"/>
      <c r="AS105" s="531"/>
      <c r="AT105" s="531"/>
      <c r="AU105" s="335"/>
      <c r="AV105" s="1280"/>
      <c r="AW105" s="1553"/>
      <c r="AX105" s="1553"/>
      <c r="AY105" s="1047"/>
      <c r="AZ105" s="1047"/>
      <c r="BA105" s="1047"/>
      <c r="BB105" s="1047"/>
      <c r="BC105" s="1553"/>
      <c r="BD105" s="1553"/>
      <c r="BE105" s="72"/>
      <c r="BF105" s="72"/>
      <c r="BG105" s="8"/>
      <c r="BH105" s="72"/>
      <c r="BI105" s="72"/>
      <c r="BJ105" s="72"/>
      <c r="BK105" s="72"/>
      <c r="BL105" s="72"/>
      <c r="BM105" s="72"/>
      <c r="BN105" s="72"/>
    </row>
    <row r="106" spans="1:66" s="108" customFormat="1" ht="16.149999999999999" customHeight="1" x14ac:dyDescent="0.25">
      <c r="A106" s="533">
        <f t="shared" si="7"/>
        <v>101</v>
      </c>
      <c r="B106" s="81">
        <v>150</v>
      </c>
      <c r="C106" s="188">
        <v>98</v>
      </c>
      <c r="D106" s="73" t="s">
        <v>29</v>
      </c>
      <c r="E106" s="73" t="s">
        <v>29</v>
      </c>
      <c r="F106" s="139" t="s">
        <v>345</v>
      </c>
      <c r="G106" s="55" t="s">
        <v>346</v>
      </c>
      <c r="H106" s="1185" t="str">
        <f>'DEGREE MARK SIMULATOR'!$AI$83</f>
        <v xml:space="preserve"> </v>
      </c>
      <c r="I106" s="132" t="s">
        <v>347</v>
      </c>
      <c r="J106" s="793" t="s">
        <v>348</v>
      </c>
      <c r="K106" s="34" t="s">
        <v>29</v>
      </c>
      <c r="L106" s="34" t="s">
        <v>29</v>
      </c>
      <c r="M106" s="33" t="s">
        <v>29</v>
      </c>
      <c r="N106" s="34"/>
      <c r="O106" s="33" t="s">
        <v>32</v>
      </c>
      <c r="P106" s="33"/>
      <c r="Q106" s="37">
        <v>200</v>
      </c>
      <c r="R106" s="35">
        <v>40</v>
      </c>
      <c r="S106" s="35"/>
      <c r="T106" s="36">
        <v>20</v>
      </c>
      <c r="U106" s="36">
        <v>20</v>
      </c>
      <c r="V106" s="37" t="s">
        <v>23</v>
      </c>
      <c r="W106" s="311">
        <v>26</v>
      </c>
      <c r="X106" s="178"/>
      <c r="Y106" s="70"/>
      <c r="Z106" s="37">
        <v>25</v>
      </c>
      <c r="AA106" s="68">
        <v>75</v>
      </c>
      <c r="AB106" s="210"/>
      <c r="AC106" s="135"/>
      <c r="AD106" s="34"/>
      <c r="AE106" s="34"/>
      <c r="AF106" s="34"/>
      <c r="AG106" s="34"/>
      <c r="AH106" s="34"/>
      <c r="AI106" s="34"/>
      <c r="AJ106" s="34"/>
      <c r="AK106" s="34" t="s">
        <v>32</v>
      </c>
      <c r="AL106" s="34"/>
      <c r="AM106" s="347">
        <v>3</v>
      </c>
      <c r="AN106" s="1301">
        <v>70.3</v>
      </c>
      <c r="AO106" s="8"/>
      <c r="AP106" s="38"/>
      <c r="AQ106" s="528"/>
      <c r="AR106" s="531"/>
      <c r="AS106" s="531"/>
      <c r="AT106" s="531"/>
      <c r="AU106" s="335"/>
      <c r="AV106" s="1280"/>
      <c r="AW106" s="1121"/>
      <c r="AX106" s="1121"/>
      <c r="AY106" s="1047"/>
      <c r="AZ106" s="1047"/>
      <c r="BA106" s="1047"/>
      <c r="BB106" s="1047"/>
      <c r="BC106" s="1121"/>
      <c r="BD106" s="1121"/>
      <c r="BE106" s="72"/>
      <c r="BF106" s="72"/>
      <c r="BG106" s="8"/>
      <c r="BH106" s="72"/>
      <c r="BI106" s="72"/>
      <c r="BJ106" s="72"/>
      <c r="BK106" s="72"/>
      <c r="BL106" s="72"/>
      <c r="BM106" s="72"/>
      <c r="BN106" s="72"/>
    </row>
    <row r="107" spans="1:66" s="108" customFormat="1" ht="16.149999999999999" customHeight="1" x14ac:dyDescent="0.25">
      <c r="A107" s="533">
        <f t="shared" si="7"/>
        <v>102</v>
      </c>
      <c r="B107" s="81">
        <v>153</v>
      </c>
      <c r="C107" s="188">
        <v>99</v>
      </c>
      <c r="D107" s="73" t="s">
        <v>29</v>
      </c>
      <c r="E107" s="73" t="s">
        <v>29</v>
      </c>
      <c r="F107" s="139" t="s">
        <v>349</v>
      </c>
      <c r="G107" s="55" t="s">
        <v>350</v>
      </c>
      <c r="H107" s="1185" t="str">
        <f>'DEGREE MARK SIMULATOR'!$AI$83</f>
        <v xml:space="preserve"> </v>
      </c>
      <c r="I107" s="132" t="s">
        <v>351</v>
      </c>
      <c r="J107" s="793" t="s">
        <v>352</v>
      </c>
      <c r="K107" s="34" t="s">
        <v>29</v>
      </c>
      <c r="L107" s="34" t="s">
        <v>29</v>
      </c>
      <c r="M107" s="33" t="s">
        <v>29</v>
      </c>
      <c r="N107" s="34"/>
      <c r="O107" s="33" t="s">
        <v>32</v>
      </c>
      <c r="P107" s="33"/>
      <c r="Q107" s="37">
        <v>200</v>
      </c>
      <c r="R107" s="35">
        <v>40</v>
      </c>
      <c r="S107" s="35"/>
      <c r="T107" s="36">
        <v>20</v>
      </c>
      <c r="U107" s="36">
        <v>20</v>
      </c>
      <c r="V107" s="37" t="s">
        <v>23</v>
      </c>
      <c r="W107" s="311">
        <v>26</v>
      </c>
      <c r="X107" s="178"/>
      <c r="Y107" s="70"/>
      <c r="Z107" s="37">
        <v>25</v>
      </c>
      <c r="AA107" s="68">
        <v>75</v>
      </c>
      <c r="AB107" s="210"/>
      <c r="AC107" s="135"/>
      <c r="AD107" s="34"/>
      <c r="AE107" s="34"/>
      <c r="AF107" s="34"/>
      <c r="AG107" s="34"/>
      <c r="AH107" s="34"/>
      <c r="AI107" s="34"/>
      <c r="AJ107" s="34"/>
      <c r="AK107" s="34" t="s">
        <v>32</v>
      </c>
      <c r="AL107" s="34"/>
      <c r="AM107" s="347"/>
      <c r="AN107" s="1301">
        <v>73.7</v>
      </c>
      <c r="AO107" s="8"/>
      <c r="AP107" s="38"/>
      <c r="AQ107" s="528"/>
      <c r="AR107" s="531"/>
      <c r="AS107" s="531"/>
      <c r="AT107" s="531"/>
      <c r="AU107" s="335"/>
      <c r="AV107" s="1280"/>
      <c r="AW107" s="1121"/>
      <c r="AX107" s="1121"/>
      <c r="AY107" s="1047"/>
      <c r="AZ107" s="1047"/>
      <c r="BA107" s="1047"/>
      <c r="BB107" s="1047"/>
      <c r="BC107" s="1121"/>
      <c r="BD107" s="1121"/>
      <c r="BE107" s="72"/>
      <c r="BF107" s="72"/>
      <c r="BG107" s="8"/>
      <c r="BH107" s="72"/>
      <c r="BI107" s="72"/>
      <c r="BJ107" s="72"/>
      <c r="BK107" s="72"/>
      <c r="BL107" s="72"/>
      <c r="BM107" s="72"/>
      <c r="BN107" s="72"/>
    </row>
    <row r="108" spans="1:66" ht="16.149999999999999" customHeight="1" x14ac:dyDescent="0.25">
      <c r="A108" s="533">
        <f t="shared" si="7"/>
        <v>103</v>
      </c>
      <c r="B108" s="81">
        <v>182</v>
      </c>
      <c r="C108" s="188">
        <v>100</v>
      </c>
      <c r="D108" s="73" t="s">
        <v>29</v>
      </c>
      <c r="E108" s="73" t="s">
        <v>29</v>
      </c>
      <c r="F108" s="139" t="s">
        <v>353</v>
      </c>
      <c r="G108" s="55" t="s">
        <v>354</v>
      </c>
      <c r="H108" s="1185" t="str">
        <f>'DEGREE MARK SIMULATOR'!$AI$83</f>
        <v xml:space="preserve"> </v>
      </c>
      <c r="I108" s="132" t="s">
        <v>355</v>
      </c>
      <c r="J108" s="793" t="s">
        <v>356</v>
      </c>
      <c r="K108" s="34" t="s">
        <v>29</v>
      </c>
      <c r="L108" s="34" t="s">
        <v>29</v>
      </c>
      <c r="M108" s="33" t="s">
        <v>29</v>
      </c>
      <c r="N108" s="34"/>
      <c r="O108" s="33" t="s">
        <v>32</v>
      </c>
      <c r="P108" s="33"/>
      <c r="Q108" s="37">
        <v>200</v>
      </c>
      <c r="R108" s="35">
        <v>40</v>
      </c>
      <c r="S108" s="35"/>
      <c r="T108" s="36">
        <v>20</v>
      </c>
      <c r="U108" s="36">
        <v>20</v>
      </c>
      <c r="V108" s="37" t="s">
        <v>23</v>
      </c>
      <c r="W108" s="311">
        <v>26</v>
      </c>
      <c r="X108" s="178"/>
      <c r="Y108" s="70"/>
      <c r="Z108" s="37">
        <v>25</v>
      </c>
      <c r="AA108" s="68">
        <v>75</v>
      </c>
      <c r="AB108" s="210"/>
      <c r="AC108" s="135"/>
      <c r="AD108" s="34"/>
      <c r="AE108" s="34"/>
      <c r="AF108" s="34"/>
      <c r="AG108" s="34"/>
      <c r="AH108" s="34"/>
      <c r="AI108" s="34"/>
      <c r="AJ108" s="34"/>
      <c r="AK108" s="34" t="s">
        <v>32</v>
      </c>
      <c r="AL108" s="34"/>
      <c r="AM108" s="347"/>
      <c r="AN108" s="1301">
        <v>74.7</v>
      </c>
      <c r="AO108" s="8"/>
      <c r="AP108" s="38"/>
      <c r="AQ108" s="528"/>
      <c r="AR108" s="531"/>
      <c r="AS108" s="531"/>
      <c r="AT108" s="531"/>
      <c r="AU108" s="335"/>
      <c r="AV108" s="1280"/>
      <c r="AW108" s="1121"/>
      <c r="AX108" s="1121"/>
      <c r="AY108" s="1047"/>
      <c r="AZ108" s="1047"/>
      <c r="BA108" s="1047"/>
      <c r="BB108" s="1047"/>
      <c r="BC108" s="1121"/>
      <c r="BD108" s="1121"/>
      <c r="BG108" s="8"/>
    </row>
    <row r="109" spans="1:66" ht="16.149999999999999" customHeight="1" x14ac:dyDescent="0.25">
      <c r="A109" s="533">
        <f t="shared" si="7"/>
        <v>104</v>
      </c>
      <c r="B109" s="81">
        <v>25</v>
      </c>
      <c r="C109" s="188">
        <v>101</v>
      </c>
      <c r="D109" s="73" t="s">
        <v>29</v>
      </c>
      <c r="E109" s="73" t="s">
        <v>29</v>
      </c>
      <c r="F109" s="139" t="s">
        <v>359</v>
      </c>
      <c r="G109" s="55" t="s">
        <v>360</v>
      </c>
      <c r="H109" s="1185" t="str">
        <f>'DEGREE MARK SIMULATOR'!AI84</f>
        <v xml:space="preserve"> </v>
      </c>
      <c r="I109" s="132" t="s">
        <v>675</v>
      </c>
      <c r="J109" s="793" t="s">
        <v>713</v>
      </c>
      <c r="K109" s="34" t="s">
        <v>29</v>
      </c>
      <c r="L109" s="34" t="s">
        <v>29</v>
      </c>
      <c r="M109" s="33" t="s">
        <v>29</v>
      </c>
      <c r="N109" s="34"/>
      <c r="O109" s="33" t="s">
        <v>32</v>
      </c>
      <c r="P109" s="33"/>
      <c r="Q109" s="37">
        <v>200</v>
      </c>
      <c r="R109" s="35">
        <v>40</v>
      </c>
      <c r="S109" s="35"/>
      <c r="T109" s="36">
        <v>20</v>
      </c>
      <c r="U109" s="36">
        <v>20</v>
      </c>
      <c r="V109" s="37" t="s">
        <v>24</v>
      </c>
      <c r="W109" s="311">
        <v>27</v>
      </c>
      <c r="X109" s="178">
        <v>32</v>
      </c>
      <c r="Y109" s="70"/>
      <c r="Z109" s="37">
        <v>20</v>
      </c>
      <c r="AA109" s="68">
        <v>80</v>
      </c>
      <c r="AB109" s="210"/>
      <c r="AC109" s="135"/>
      <c r="AD109" s="34"/>
      <c r="AE109" s="34"/>
      <c r="AF109" s="34"/>
      <c r="AG109" s="34"/>
      <c r="AH109" s="34"/>
      <c r="AI109" s="34"/>
      <c r="AJ109" s="34"/>
      <c r="AK109" s="34"/>
      <c r="AL109" s="34" t="s">
        <v>32</v>
      </c>
      <c r="AM109" s="347"/>
      <c r="AN109" s="1301">
        <v>80.2</v>
      </c>
      <c r="AO109" s="8"/>
      <c r="AP109" s="38"/>
      <c r="AQ109" s="528"/>
      <c r="AR109" s="531"/>
      <c r="AS109" s="531"/>
      <c r="AT109" s="531"/>
      <c r="AU109" s="335"/>
      <c r="AV109" s="1280"/>
      <c r="AW109" s="1553"/>
      <c r="AX109" s="1553"/>
      <c r="AY109" s="1047"/>
      <c r="AZ109" s="1047"/>
      <c r="BA109" s="1047"/>
      <c r="BB109" s="1047"/>
      <c r="BC109" s="1553"/>
      <c r="BD109" s="1553"/>
      <c r="BG109" s="8"/>
    </row>
    <row r="110" spans="1:66" ht="16.149999999999999" customHeight="1" x14ac:dyDescent="0.25">
      <c r="A110" s="533">
        <f t="shared" si="7"/>
        <v>105</v>
      </c>
      <c r="B110" s="81">
        <v>86</v>
      </c>
      <c r="C110" s="188">
        <v>102</v>
      </c>
      <c r="D110" s="73" t="s">
        <v>29</v>
      </c>
      <c r="E110" s="73" t="s">
        <v>29</v>
      </c>
      <c r="F110" s="139" t="s">
        <v>361</v>
      </c>
      <c r="G110" s="55" t="s">
        <v>362</v>
      </c>
      <c r="H110" s="1185" t="str">
        <f>H109</f>
        <v xml:space="preserve"> </v>
      </c>
      <c r="I110" s="132" t="s">
        <v>363</v>
      </c>
      <c r="J110" s="793" t="s">
        <v>364</v>
      </c>
      <c r="K110" s="34" t="s">
        <v>29</v>
      </c>
      <c r="L110" s="34" t="s">
        <v>29</v>
      </c>
      <c r="M110" s="33" t="s">
        <v>29</v>
      </c>
      <c r="N110" s="34"/>
      <c r="O110" s="33" t="s">
        <v>32</v>
      </c>
      <c r="P110" s="33"/>
      <c r="Q110" s="37">
        <v>200</v>
      </c>
      <c r="R110" s="35">
        <v>40</v>
      </c>
      <c r="S110" s="35"/>
      <c r="T110" s="36">
        <v>20</v>
      </c>
      <c r="U110" s="36">
        <v>20</v>
      </c>
      <c r="V110" s="37" t="s">
        <v>24</v>
      </c>
      <c r="W110" s="311">
        <v>27</v>
      </c>
      <c r="X110" s="178"/>
      <c r="Y110" s="70"/>
      <c r="Z110" s="37">
        <v>20</v>
      </c>
      <c r="AA110" s="68">
        <v>80</v>
      </c>
      <c r="AB110" s="210"/>
      <c r="AC110" s="135"/>
      <c r="AD110" s="34"/>
      <c r="AE110" s="34"/>
      <c r="AF110" s="34"/>
      <c r="AG110" s="34"/>
      <c r="AH110" s="34"/>
      <c r="AI110" s="34"/>
      <c r="AJ110" s="34"/>
      <c r="AK110" s="34"/>
      <c r="AL110" s="34" t="s">
        <v>32</v>
      </c>
      <c r="AM110" s="347"/>
      <c r="AN110" s="1301">
        <v>71.8</v>
      </c>
      <c r="AO110" s="8"/>
      <c r="AP110" s="38"/>
      <c r="AQ110" s="528"/>
      <c r="AR110" s="531"/>
      <c r="AS110" s="531"/>
      <c r="AT110" s="531"/>
      <c r="AU110" s="335"/>
      <c r="AV110" s="1280"/>
      <c r="AW110" s="1121"/>
      <c r="AX110" s="1121"/>
      <c r="AY110" s="1047"/>
      <c r="AZ110" s="1047"/>
      <c r="BA110" s="1047"/>
      <c r="BB110" s="1047"/>
      <c r="BC110" s="1121"/>
      <c r="BD110" s="1121"/>
      <c r="BG110" s="8"/>
    </row>
    <row r="111" spans="1:66" ht="16.149999999999999" customHeight="1" x14ac:dyDescent="0.25">
      <c r="A111" s="533">
        <f t="shared" si="7"/>
        <v>106</v>
      </c>
      <c r="B111" s="81">
        <v>165</v>
      </c>
      <c r="C111" s="188">
        <v>103</v>
      </c>
      <c r="D111" s="73" t="s">
        <v>29</v>
      </c>
      <c r="E111" s="73" t="s">
        <v>29</v>
      </c>
      <c r="F111" s="139" t="s">
        <v>365</v>
      </c>
      <c r="G111" s="55" t="s">
        <v>366</v>
      </c>
      <c r="H111" s="1185" t="str">
        <f>H110</f>
        <v xml:space="preserve"> </v>
      </c>
      <c r="I111" s="132" t="s">
        <v>676</v>
      </c>
      <c r="J111" s="793" t="s">
        <v>367</v>
      </c>
      <c r="K111" s="34" t="s">
        <v>29</v>
      </c>
      <c r="L111" s="34" t="s">
        <v>29</v>
      </c>
      <c r="M111" s="33" t="s">
        <v>29</v>
      </c>
      <c r="N111" s="34"/>
      <c r="O111" s="33" t="s">
        <v>32</v>
      </c>
      <c r="P111" s="33"/>
      <c r="Q111" s="37">
        <v>200</v>
      </c>
      <c r="R111" s="35">
        <v>40</v>
      </c>
      <c r="S111" s="35"/>
      <c r="T111" s="36">
        <v>20</v>
      </c>
      <c r="U111" s="36">
        <v>20</v>
      </c>
      <c r="V111" s="37" t="s">
        <v>24</v>
      </c>
      <c r="W111" s="311">
        <v>27</v>
      </c>
      <c r="X111" s="178"/>
      <c r="Y111" s="70"/>
      <c r="Z111" s="37">
        <v>20</v>
      </c>
      <c r="AA111" s="68">
        <v>80</v>
      </c>
      <c r="AB111" s="210"/>
      <c r="AC111" s="135"/>
      <c r="AD111" s="34"/>
      <c r="AE111" s="34"/>
      <c r="AF111" s="34"/>
      <c r="AG111" s="34"/>
      <c r="AH111" s="34"/>
      <c r="AI111" s="34"/>
      <c r="AJ111" s="34"/>
      <c r="AK111" s="34"/>
      <c r="AL111" s="34" t="s">
        <v>32</v>
      </c>
      <c r="AM111" s="347">
        <v>3</v>
      </c>
      <c r="AN111" s="1301">
        <v>64.7</v>
      </c>
      <c r="AO111" s="8"/>
      <c r="AP111" s="38"/>
      <c r="AQ111" s="528"/>
      <c r="AR111" s="531"/>
      <c r="AS111" s="531"/>
      <c r="AT111" s="531"/>
      <c r="AU111" s="335"/>
      <c r="AV111" s="1280"/>
      <c r="AW111" s="1121"/>
      <c r="AX111" s="1121"/>
      <c r="AY111" s="1047"/>
      <c r="AZ111" s="1047"/>
      <c r="BA111" s="1047"/>
      <c r="BB111" s="1047"/>
      <c r="BC111" s="1121"/>
      <c r="BD111" s="1121"/>
      <c r="BG111" s="8"/>
    </row>
    <row r="112" spans="1:66" s="108" customFormat="1" ht="16.149999999999999" customHeight="1" x14ac:dyDescent="0.25">
      <c r="A112" s="533">
        <f t="shared" si="7"/>
        <v>107</v>
      </c>
      <c r="B112" s="81">
        <v>5</v>
      </c>
      <c r="C112" s="188">
        <v>104</v>
      </c>
      <c r="D112" s="73" t="s">
        <v>29</v>
      </c>
      <c r="E112" s="73" t="s">
        <v>29</v>
      </c>
      <c r="F112" s="139" t="s">
        <v>368</v>
      </c>
      <c r="G112" s="55" t="s">
        <v>369</v>
      </c>
      <c r="H112" s="1185" t="str">
        <f>'DEGREE MARK SIMULATOR'!AI85</f>
        <v xml:space="preserve"> </v>
      </c>
      <c r="I112" s="132" t="s">
        <v>677</v>
      </c>
      <c r="J112" s="793" t="s">
        <v>370</v>
      </c>
      <c r="K112" s="34" t="s">
        <v>29</v>
      </c>
      <c r="L112" s="34"/>
      <c r="M112" s="33" t="s">
        <v>29</v>
      </c>
      <c r="N112" s="34"/>
      <c r="O112" s="33" t="s">
        <v>32</v>
      </c>
      <c r="P112" s="33"/>
      <c r="Q112" s="37">
        <v>180</v>
      </c>
      <c r="R112" s="35">
        <f>240-Q112</f>
        <v>60</v>
      </c>
      <c r="S112" s="35"/>
      <c r="T112" s="36">
        <v>45</v>
      </c>
      <c r="U112" s="36">
        <v>15</v>
      </c>
      <c r="V112" s="37" t="s">
        <v>16</v>
      </c>
      <c r="W112" s="311">
        <v>28</v>
      </c>
      <c r="X112" s="178">
        <v>33</v>
      </c>
      <c r="Y112" s="70"/>
      <c r="Z112" s="37">
        <v>50</v>
      </c>
      <c r="AA112" s="68">
        <v>50</v>
      </c>
      <c r="AB112" s="210"/>
      <c r="AC112" s="135"/>
      <c r="AD112" s="34"/>
      <c r="AE112" s="34" t="s">
        <v>32</v>
      </c>
      <c r="AF112" s="34"/>
      <c r="AG112" s="34"/>
      <c r="AH112" s="34"/>
      <c r="AI112" s="34"/>
      <c r="AJ112" s="34"/>
      <c r="AK112" s="34"/>
      <c r="AL112" s="34"/>
      <c r="AM112" s="347"/>
      <c r="AN112" s="1301">
        <v>74</v>
      </c>
      <c r="AO112" s="8"/>
      <c r="AP112" s="38"/>
      <c r="AQ112" s="528"/>
      <c r="AR112" s="531"/>
      <c r="AS112" s="531"/>
      <c r="AT112" s="531"/>
      <c r="AU112" s="335"/>
      <c r="AV112" s="1280"/>
      <c r="AW112" s="1553"/>
      <c r="AX112" s="1553"/>
      <c r="AY112" s="1047"/>
      <c r="AZ112" s="1047"/>
      <c r="BA112" s="1047"/>
      <c r="BB112" s="1047"/>
      <c r="BC112" s="1553"/>
      <c r="BD112" s="1553"/>
      <c r="BE112" s="72"/>
      <c r="BF112" s="72"/>
      <c r="BG112" s="8"/>
      <c r="BH112" s="72"/>
      <c r="BI112" s="72"/>
      <c r="BJ112" s="72"/>
      <c r="BK112" s="72"/>
      <c r="BL112" s="72"/>
      <c r="BM112" s="72"/>
      <c r="BN112" s="72"/>
    </row>
    <row r="113" spans="1:66" s="108" customFormat="1" ht="16.149999999999999" customHeight="1" x14ac:dyDescent="0.25">
      <c r="A113" s="533">
        <f t="shared" si="7"/>
        <v>108</v>
      </c>
      <c r="B113" s="81">
        <v>54</v>
      </c>
      <c r="C113" s="188">
        <v>105</v>
      </c>
      <c r="D113" s="73" t="s">
        <v>32</v>
      </c>
      <c r="E113" s="73" t="s">
        <v>29</v>
      </c>
      <c r="F113" s="139" t="s">
        <v>371</v>
      </c>
      <c r="G113" s="55" t="s">
        <v>372</v>
      </c>
      <c r="H113" s="1185" t="str">
        <f>'DEGREE MARK SIMULATOR'!AI86</f>
        <v xml:space="preserve"> </v>
      </c>
      <c r="I113" s="132" t="s">
        <v>373</v>
      </c>
      <c r="J113" s="793" t="s">
        <v>374</v>
      </c>
      <c r="K113" s="34" t="s">
        <v>29</v>
      </c>
      <c r="L113" s="34" t="s">
        <v>29</v>
      </c>
      <c r="M113" s="33" t="s">
        <v>29</v>
      </c>
      <c r="N113" s="34"/>
      <c r="O113" s="33" t="s">
        <v>32</v>
      </c>
      <c r="P113" s="33"/>
      <c r="Q113" s="37">
        <v>180</v>
      </c>
      <c r="R113" s="35">
        <v>60</v>
      </c>
      <c r="S113" s="35"/>
      <c r="T113" s="36">
        <v>40</v>
      </c>
      <c r="U113" s="36">
        <v>20</v>
      </c>
      <c r="V113" s="37" t="s">
        <v>16</v>
      </c>
      <c r="W113" s="311">
        <v>28</v>
      </c>
      <c r="X113" s="178">
        <v>34</v>
      </c>
      <c r="Y113" s="70"/>
      <c r="Z113" s="37">
        <v>50</v>
      </c>
      <c r="AA113" s="68">
        <v>50</v>
      </c>
      <c r="AB113" s="210"/>
      <c r="AC113" s="135"/>
      <c r="AD113" s="34"/>
      <c r="AE113" s="34" t="s">
        <v>32</v>
      </c>
      <c r="AF113" s="34"/>
      <c r="AG113" s="34"/>
      <c r="AH113" s="34"/>
      <c r="AI113" s="34"/>
      <c r="AJ113" s="34"/>
      <c r="AK113" s="34"/>
      <c r="AL113" s="34"/>
      <c r="AM113" s="347"/>
      <c r="AN113" s="1301">
        <v>75.7</v>
      </c>
      <c r="AO113" s="8"/>
      <c r="AP113" s="38"/>
      <c r="AQ113" s="528"/>
      <c r="AR113" s="531"/>
      <c r="AS113" s="531"/>
      <c r="AT113" s="531"/>
      <c r="AU113" s="335"/>
      <c r="AV113" s="1280"/>
      <c r="AW113" s="1553"/>
      <c r="AX113" s="1553"/>
      <c r="AY113" s="1047"/>
      <c r="AZ113" s="1047"/>
      <c r="BA113" s="1047"/>
      <c r="BB113" s="1047"/>
      <c r="BC113" s="1553"/>
      <c r="BD113" s="1553"/>
      <c r="BE113" s="72"/>
      <c r="BF113" s="72"/>
      <c r="BG113" s="8"/>
      <c r="BH113" s="72"/>
      <c r="BI113" s="72"/>
      <c r="BJ113" s="72"/>
      <c r="BK113" s="72"/>
      <c r="BL113" s="72"/>
      <c r="BM113" s="72"/>
      <c r="BN113" s="72"/>
    </row>
    <row r="114" spans="1:66" s="108" customFormat="1" ht="16.149999999999999" customHeight="1" x14ac:dyDescent="0.25">
      <c r="A114" s="533">
        <f t="shared" si="7"/>
        <v>109</v>
      </c>
      <c r="B114" s="81">
        <v>61</v>
      </c>
      <c r="C114" s="188">
        <v>106</v>
      </c>
      <c r="D114" s="73" t="s">
        <v>32</v>
      </c>
      <c r="E114" s="73" t="s">
        <v>29</v>
      </c>
      <c r="F114" s="139" t="s">
        <v>375</v>
      </c>
      <c r="G114" s="55" t="s">
        <v>376</v>
      </c>
      <c r="H114" s="1185" t="str">
        <f>'DEGREE MARK SIMULATOR'!AI87</f>
        <v xml:space="preserve"> </v>
      </c>
      <c r="I114" s="132" t="s">
        <v>678</v>
      </c>
      <c r="J114" s="793" t="s">
        <v>377</v>
      </c>
      <c r="K114" s="34" t="s">
        <v>29</v>
      </c>
      <c r="L114" s="34" t="s">
        <v>29</v>
      </c>
      <c r="M114" s="33" t="s">
        <v>29</v>
      </c>
      <c r="N114" s="34"/>
      <c r="O114" s="33" t="s">
        <v>32</v>
      </c>
      <c r="P114" s="33"/>
      <c r="Q114" s="37">
        <v>180</v>
      </c>
      <c r="R114" s="35">
        <v>60</v>
      </c>
      <c r="S114" s="35"/>
      <c r="T114" s="36">
        <v>30</v>
      </c>
      <c r="U114" s="36">
        <v>30</v>
      </c>
      <c r="V114" s="37" t="s">
        <v>16</v>
      </c>
      <c r="W114" s="311">
        <v>28</v>
      </c>
      <c r="X114" s="178">
        <v>35</v>
      </c>
      <c r="Y114" s="70"/>
      <c r="Z114" s="37">
        <v>50</v>
      </c>
      <c r="AA114" s="68">
        <v>50</v>
      </c>
      <c r="AB114" s="210"/>
      <c r="AC114" s="135"/>
      <c r="AD114" s="34"/>
      <c r="AE114" s="34" t="s">
        <v>32</v>
      </c>
      <c r="AF114" s="34"/>
      <c r="AG114" s="34"/>
      <c r="AH114" s="34"/>
      <c r="AI114" s="34"/>
      <c r="AJ114" s="34"/>
      <c r="AK114" s="34"/>
      <c r="AL114" s="34"/>
      <c r="AM114" s="347"/>
      <c r="AN114" s="1301">
        <v>79.900000000000006</v>
      </c>
      <c r="AO114" s="8"/>
      <c r="AP114" s="38"/>
      <c r="AQ114" s="528"/>
      <c r="AR114" s="531"/>
      <c r="AS114" s="531"/>
      <c r="AT114" s="531"/>
      <c r="AU114" s="335"/>
      <c r="AV114" s="1280"/>
      <c r="AW114" s="1553"/>
      <c r="AX114" s="1553"/>
      <c r="AY114" s="1047"/>
      <c r="AZ114" s="1047"/>
      <c r="BA114" s="1047"/>
      <c r="BB114" s="1047"/>
      <c r="BC114" s="1553"/>
      <c r="BD114" s="1553"/>
      <c r="BE114" s="72"/>
      <c r="BF114" s="72"/>
      <c r="BG114" s="8"/>
      <c r="BH114" s="72"/>
      <c r="BI114" s="72"/>
      <c r="BJ114" s="72"/>
      <c r="BK114" s="72"/>
      <c r="BL114" s="72"/>
      <c r="BM114" s="72"/>
      <c r="BN114" s="72"/>
    </row>
    <row r="115" spans="1:66" s="108" customFormat="1" ht="16.149999999999999" customHeight="1" x14ac:dyDescent="0.25">
      <c r="A115" s="533">
        <f t="shared" si="7"/>
        <v>110</v>
      </c>
      <c r="B115" s="81">
        <v>154</v>
      </c>
      <c r="C115" s="188">
        <v>107</v>
      </c>
      <c r="D115" s="73" t="s">
        <v>29</v>
      </c>
      <c r="E115" s="73" t="s">
        <v>32</v>
      </c>
      <c r="F115" s="139" t="s">
        <v>378</v>
      </c>
      <c r="G115" s="55" t="s">
        <v>379</v>
      </c>
      <c r="H115" s="1185" t="str">
        <f>'DEGREE MARK SIMULATOR'!AI88</f>
        <v xml:space="preserve"> </v>
      </c>
      <c r="I115" s="132" t="s">
        <v>679</v>
      </c>
      <c r="J115" s="793" t="s">
        <v>380</v>
      </c>
      <c r="K115" s="34" t="s">
        <v>29</v>
      </c>
      <c r="L115" s="34" t="s">
        <v>29</v>
      </c>
      <c r="M115" s="33" t="s">
        <v>29</v>
      </c>
      <c r="N115" s="34"/>
      <c r="O115" s="33" t="s">
        <v>32</v>
      </c>
      <c r="P115" s="33"/>
      <c r="Q115" s="37">
        <v>180</v>
      </c>
      <c r="R115" s="35">
        <v>60</v>
      </c>
      <c r="S115" s="35"/>
      <c r="T115" s="36">
        <v>60</v>
      </c>
      <c r="U115" s="36"/>
      <c r="V115" s="37" t="s">
        <v>16</v>
      </c>
      <c r="W115" s="311">
        <v>28</v>
      </c>
      <c r="X115" s="178">
        <v>36</v>
      </c>
      <c r="Y115" s="70"/>
      <c r="Z115" s="37">
        <v>50</v>
      </c>
      <c r="AA115" s="68">
        <v>50</v>
      </c>
      <c r="AB115" s="210"/>
      <c r="AC115" s="135"/>
      <c r="AD115" s="34"/>
      <c r="AE115" s="34" t="s">
        <v>32</v>
      </c>
      <c r="AF115" s="34"/>
      <c r="AG115" s="34"/>
      <c r="AH115" s="34"/>
      <c r="AI115" s="34"/>
      <c r="AJ115" s="34"/>
      <c r="AK115" s="34"/>
      <c r="AL115" s="34"/>
      <c r="AM115" s="347"/>
      <c r="AN115" s="1301">
        <v>67.3</v>
      </c>
      <c r="AO115" s="1047"/>
      <c r="AP115" s="38"/>
      <c r="AQ115" s="528"/>
      <c r="AR115" s="531"/>
      <c r="AS115" s="531"/>
      <c r="AT115" s="531"/>
      <c r="AU115" s="335"/>
      <c r="AV115" s="1280"/>
      <c r="AW115" s="1553"/>
      <c r="AX115" s="1553"/>
      <c r="AY115" s="1047"/>
      <c r="AZ115" s="1047"/>
      <c r="BA115" s="1047"/>
      <c r="BB115" s="1047"/>
      <c r="BC115" s="1553"/>
      <c r="BD115" s="1553"/>
      <c r="BE115" s="72"/>
      <c r="BF115" s="72"/>
      <c r="BG115" s="8"/>
      <c r="BH115" s="72"/>
      <c r="BI115" s="72"/>
      <c r="BJ115" s="72"/>
      <c r="BK115" s="72"/>
      <c r="BL115" s="72"/>
      <c r="BM115" s="72"/>
      <c r="BN115" s="72"/>
    </row>
    <row r="116" spans="1:66" s="108" customFormat="1" ht="16.149999999999999" customHeight="1" x14ac:dyDescent="0.25">
      <c r="A116" s="533">
        <f t="shared" si="7"/>
        <v>111</v>
      </c>
      <c r="B116" s="81">
        <v>187</v>
      </c>
      <c r="C116" s="188">
        <v>108</v>
      </c>
      <c r="D116" s="73" t="s">
        <v>29</v>
      </c>
      <c r="E116" s="73" t="s">
        <v>29</v>
      </c>
      <c r="F116" s="139" t="s">
        <v>964</v>
      </c>
      <c r="G116" s="55" t="s">
        <v>382</v>
      </c>
      <c r="H116" s="1185" t="str">
        <f>'DEGREE MARK SIMULATOR'!AI89</f>
        <v xml:space="preserve"> </v>
      </c>
      <c r="I116" s="132" t="s">
        <v>680</v>
      </c>
      <c r="J116" s="793" t="s">
        <v>383</v>
      </c>
      <c r="K116" s="34" t="s">
        <v>29</v>
      </c>
      <c r="L116" s="34" t="s">
        <v>29</v>
      </c>
      <c r="M116" s="33" t="s">
        <v>29</v>
      </c>
      <c r="N116" s="34"/>
      <c r="O116" s="33" t="s">
        <v>32</v>
      </c>
      <c r="P116" s="33"/>
      <c r="Q116" s="37">
        <v>180</v>
      </c>
      <c r="R116" s="35">
        <v>60</v>
      </c>
      <c r="S116" s="35"/>
      <c r="T116" s="36"/>
      <c r="U116" s="36"/>
      <c r="V116" s="37" t="s">
        <v>16</v>
      </c>
      <c r="W116" s="311">
        <v>28</v>
      </c>
      <c r="X116" s="178">
        <v>37</v>
      </c>
      <c r="Y116" s="70"/>
      <c r="Z116" s="37">
        <v>50</v>
      </c>
      <c r="AA116" s="68">
        <v>50</v>
      </c>
      <c r="AB116" s="210"/>
      <c r="AC116" s="135"/>
      <c r="AD116" s="34"/>
      <c r="AE116" s="34" t="s">
        <v>32</v>
      </c>
      <c r="AF116" s="34"/>
      <c r="AG116" s="34"/>
      <c r="AH116" s="34"/>
      <c r="AI116" s="34"/>
      <c r="AJ116" s="34"/>
      <c r="AK116" s="34"/>
      <c r="AL116" s="34"/>
      <c r="AM116" s="347">
        <v>5</v>
      </c>
      <c r="AN116" s="1301">
        <v>66.2</v>
      </c>
      <c r="AO116" s="1047"/>
      <c r="AP116" s="38"/>
      <c r="AQ116" s="528"/>
      <c r="AR116" s="531"/>
      <c r="AS116" s="531"/>
      <c r="AT116" s="531"/>
      <c r="AU116" s="335"/>
      <c r="AV116" s="1280"/>
      <c r="AW116" s="1553"/>
      <c r="AX116" s="1553"/>
      <c r="AY116" s="1047"/>
      <c r="AZ116" s="1047"/>
      <c r="BA116" s="1047"/>
      <c r="BB116" s="1047"/>
      <c r="BC116" s="1553"/>
      <c r="BD116" s="1553"/>
      <c r="BE116" s="72"/>
      <c r="BF116" s="72"/>
      <c r="BG116" s="8"/>
      <c r="BH116" s="72"/>
      <c r="BI116" s="72"/>
      <c r="BJ116" s="72"/>
      <c r="BK116" s="72"/>
      <c r="BL116" s="72"/>
      <c r="BM116" s="72"/>
      <c r="BN116" s="72"/>
    </row>
    <row r="117" spans="1:66" s="108" customFormat="1" ht="16.149999999999999" customHeight="1" x14ac:dyDescent="0.25">
      <c r="A117" s="533">
        <f t="shared" si="7"/>
        <v>112</v>
      </c>
      <c r="B117" s="81">
        <v>71</v>
      </c>
      <c r="C117" s="188">
        <v>109</v>
      </c>
      <c r="D117" s="73" t="s">
        <v>29</v>
      </c>
      <c r="E117" s="73" t="s">
        <v>29</v>
      </c>
      <c r="F117" s="139" t="s">
        <v>384</v>
      </c>
      <c r="G117" s="55" t="s">
        <v>385</v>
      </c>
      <c r="H117" s="1185" t="str">
        <f>'DEGREE MARK SIMULATOR'!AI90</f>
        <v xml:space="preserve"> </v>
      </c>
      <c r="I117" s="132" t="s">
        <v>386</v>
      </c>
      <c r="J117" s="793" t="s">
        <v>387</v>
      </c>
      <c r="K117" s="34" t="s">
        <v>29</v>
      </c>
      <c r="L117" s="34" t="s">
        <v>29</v>
      </c>
      <c r="M117" s="33" t="s">
        <v>32</v>
      </c>
      <c r="N117" s="34"/>
      <c r="O117" s="33" t="s">
        <v>32</v>
      </c>
      <c r="P117" s="33"/>
      <c r="Q117" s="37">
        <v>180</v>
      </c>
      <c r="R117" s="35">
        <v>60</v>
      </c>
      <c r="S117" s="35"/>
      <c r="T117" s="36">
        <v>30</v>
      </c>
      <c r="U117" s="36">
        <v>30</v>
      </c>
      <c r="V117" s="37" t="s">
        <v>23</v>
      </c>
      <c r="W117" s="311">
        <v>29</v>
      </c>
      <c r="X117" s="178">
        <v>38</v>
      </c>
      <c r="Y117" s="70"/>
      <c r="Z117" s="37">
        <v>25</v>
      </c>
      <c r="AA117" s="68">
        <v>75</v>
      </c>
      <c r="AB117" s="210"/>
      <c r="AC117" s="135"/>
      <c r="AD117" s="34"/>
      <c r="AE117" s="34"/>
      <c r="AF117" s="34"/>
      <c r="AG117" s="34"/>
      <c r="AH117" s="34"/>
      <c r="AI117" s="34"/>
      <c r="AJ117" s="34"/>
      <c r="AK117" s="34" t="s">
        <v>32</v>
      </c>
      <c r="AL117" s="34"/>
      <c r="AM117" s="347"/>
      <c r="AN117" s="1301">
        <v>64.900000000000006</v>
      </c>
      <c r="AO117" s="1047"/>
      <c r="AP117" s="38"/>
      <c r="AQ117" s="528"/>
      <c r="AR117" s="531"/>
      <c r="AS117" s="531"/>
      <c r="AT117" s="531"/>
      <c r="AU117" s="335"/>
      <c r="AV117" s="1280"/>
      <c r="AW117" s="1553"/>
      <c r="AX117" s="1553"/>
      <c r="AY117" s="1047"/>
      <c r="AZ117" s="1047"/>
      <c r="BA117" s="1047"/>
      <c r="BB117" s="1047"/>
      <c r="BC117" s="1553"/>
      <c r="BD117" s="1553"/>
      <c r="BE117" s="72"/>
      <c r="BF117" s="72"/>
      <c r="BG117" s="8"/>
      <c r="BH117" s="72"/>
      <c r="BI117" s="72"/>
      <c r="BJ117" s="72"/>
      <c r="BK117" s="72"/>
      <c r="BL117" s="72"/>
      <c r="BM117" s="72"/>
      <c r="BN117" s="72"/>
    </row>
    <row r="118" spans="1:66" s="108" customFormat="1" ht="16.149999999999999" customHeight="1" x14ac:dyDescent="0.25">
      <c r="A118" s="533">
        <f t="shared" si="7"/>
        <v>113</v>
      </c>
      <c r="B118" s="81">
        <v>101</v>
      </c>
      <c r="C118" s="188">
        <v>110</v>
      </c>
      <c r="D118" s="73"/>
      <c r="E118" s="73" t="s">
        <v>29</v>
      </c>
      <c r="F118" s="139" t="s">
        <v>388</v>
      </c>
      <c r="G118" s="55" t="s">
        <v>389</v>
      </c>
      <c r="H118" s="1185" t="str">
        <f>H117</f>
        <v xml:space="preserve"> </v>
      </c>
      <c r="I118" s="132" t="s">
        <v>390</v>
      </c>
      <c r="J118" s="793" t="s">
        <v>391</v>
      </c>
      <c r="K118" s="34" t="s">
        <v>29</v>
      </c>
      <c r="L118" s="34" t="s">
        <v>29</v>
      </c>
      <c r="M118" s="33"/>
      <c r="N118" s="34"/>
      <c r="O118" s="33" t="s">
        <v>32</v>
      </c>
      <c r="P118" s="33"/>
      <c r="Q118" s="37">
        <v>180</v>
      </c>
      <c r="R118" s="35">
        <v>60</v>
      </c>
      <c r="S118" s="35"/>
      <c r="T118" s="36">
        <v>30</v>
      </c>
      <c r="U118" s="36">
        <v>30</v>
      </c>
      <c r="V118" s="37" t="s">
        <v>23</v>
      </c>
      <c r="W118" s="311">
        <v>29</v>
      </c>
      <c r="X118" s="178"/>
      <c r="Y118" s="70"/>
      <c r="Z118" s="37">
        <v>25</v>
      </c>
      <c r="AA118" s="68">
        <v>75</v>
      </c>
      <c r="AB118" s="210"/>
      <c r="AC118" s="135"/>
      <c r="AD118" s="34"/>
      <c r="AE118" s="34"/>
      <c r="AF118" s="34"/>
      <c r="AG118" s="34"/>
      <c r="AH118" s="34"/>
      <c r="AI118" s="34"/>
      <c r="AJ118" s="34"/>
      <c r="AK118" s="34" t="s">
        <v>32</v>
      </c>
      <c r="AL118" s="34"/>
      <c r="AM118" s="347">
        <v>2</v>
      </c>
      <c r="AN118" s="1301">
        <v>60.8</v>
      </c>
      <c r="AO118" s="1047"/>
      <c r="AP118" s="38"/>
      <c r="AQ118" s="528"/>
      <c r="AR118" s="531"/>
      <c r="AS118" s="531"/>
      <c r="AT118" s="531"/>
      <c r="AU118" s="335"/>
      <c r="AV118" s="1280"/>
      <c r="AW118" s="1121"/>
      <c r="AX118" s="1121"/>
      <c r="AY118" s="1047"/>
      <c r="AZ118" s="1047"/>
      <c r="BA118" s="1047"/>
      <c r="BB118" s="1047"/>
      <c r="BC118" s="1121"/>
      <c r="BD118" s="1121"/>
      <c r="BE118" s="72"/>
      <c r="BF118" s="72"/>
      <c r="BG118" s="8"/>
      <c r="BH118" s="1284"/>
      <c r="BI118" s="72"/>
      <c r="BJ118" s="72"/>
      <c r="BK118" s="72"/>
      <c r="BL118" s="72"/>
      <c r="BM118" s="72"/>
      <c r="BN118" s="72"/>
    </row>
    <row r="119" spans="1:66" s="108" customFormat="1" ht="16.149999999999999" customHeight="1" x14ac:dyDescent="0.25">
      <c r="A119" s="533">
        <f t="shared" si="7"/>
        <v>114</v>
      </c>
      <c r="B119" s="81">
        <v>51</v>
      </c>
      <c r="C119" s="188">
        <v>111</v>
      </c>
      <c r="D119" s="73" t="s">
        <v>29</v>
      </c>
      <c r="E119" s="73" t="s">
        <v>29</v>
      </c>
      <c r="F119" s="139" t="s">
        <v>392</v>
      </c>
      <c r="G119" s="55" t="s">
        <v>393</v>
      </c>
      <c r="H119" s="1185" t="str">
        <f>'DEGREE MARK SIMULATOR'!AI91</f>
        <v xml:space="preserve"> </v>
      </c>
      <c r="I119" s="132" t="s">
        <v>394</v>
      </c>
      <c r="J119" s="793" t="s">
        <v>395</v>
      </c>
      <c r="K119" s="34" t="s">
        <v>29</v>
      </c>
      <c r="L119" s="34" t="s">
        <v>29</v>
      </c>
      <c r="M119" s="33" t="s">
        <v>29</v>
      </c>
      <c r="N119" s="34"/>
      <c r="O119" s="33" t="s">
        <v>32</v>
      </c>
      <c r="P119" s="33"/>
      <c r="Q119" s="37">
        <v>180</v>
      </c>
      <c r="R119" s="35">
        <v>60</v>
      </c>
      <c r="S119" s="35"/>
      <c r="T119" s="36">
        <v>30</v>
      </c>
      <c r="U119" s="36">
        <v>30</v>
      </c>
      <c r="V119" s="37" t="s">
        <v>24</v>
      </c>
      <c r="W119" s="311">
        <v>30</v>
      </c>
      <c r="X119" s="178">
        <v>39</v>
      </c>
      <c r="Y119" s="70"/>
      <c r="Z119" s="37">
        <v>20</v>
      </c>
      <c r="AA119" s="68">
        <v>80</v>
      </c>
      <c r="AB119" s="210"/>
      <c r="AC119" s="135"/>
      <c r="AD119" s="34"/>
      <c r="AE119" s="34"/>
      <c r="AF119" s="34"/>
      <c r="AG119" s="34"/>
      <c r="AH119" s="34"/>
      <c r="AI119" s="34"/>
      <c r="AJ119" s="34"/>
      <c r="AK119" s="34"/>
      <c r="AL119" s="34" t="s">
        <v>32</v>
      </c>
      <c r="AM119" s="347">
        <v>1</v>
      </c>
      <c r="AN119" s="1301">
        <v>68.099999999999994</v>
      </c>
      <c r="AO119" s="1047"/>
      <c r="AP119" s="38"/>
      <c r="AQ119" s="528"/>
      <c r="AR119" s="531"/>
      <c r="AS119" s="531"/>
      <c r="AT119" s="531"/>
      <c r="AU119" s="335"/>
      <c r="AV119" s="1280"/>
      <c r="AW119" s="1553"/>
      <c r="AX119" s="1553"/>
      <c r="AY119" s="1047"/>
      <c r="AZ119" s="1047"/>
      <c r="BA119" s="1047"/>
      <c r="BB119" s="1047"/>
      <c r="BC119" s="1553"/>
      <c r="BD119" s="1553"/>
      <c r="BE119" s="72"/>
      <c r="BF119" s="72"/>
      <c r="BG119" s="8"/>
      <c r="BH119" s="72"/>
      <c r="BI119" s="72"/>
      <c r="BJ119" s="72"/>
      <c r="BK119" s="72"/>
      <c r="BL119" s="72"/>
      <c r="BM119" s="72"/>
      <c r="BN119" s="72"/>
    </row>
    <row r="120" spans="1:66" s="108" customFormat="1" ht="16.149999999999999" customHeight="1" x14ac:dyDescent="0.25">
      <c r="A120" s="533">
        <f t="shared" si="7"/>
        <v>115</v>
      </c>
      <c r="B120" s="81">
        <v>137</v>
      </c>
      <c r="C120" s="188">
        <v>112</v>
      </c>
      <c r="D120" s="73" t="s">
        <v>29</v>
      </c>
      <c r="E120" s="73" t="s">
        <v>29</v>
      </c>
      <c r="F120" s="139" t="s">
        <v>965</v>
      </c>
      <c r="G120" s="55" t="s">
        <v>397</v>
      </c>
      <c r="H120" s="1185" t="str">
        <f>'DEGREE MARK SIMULATOR'!AI92</f>
        <v xml:space="preserve"> </v>
      </c>
      <c r="I120" s="132" t="s">
        <v>681</v>
      </c>
      <c r="J120" s="793" t="s">
        <v>398</v>
      </c>
      <c r="K120" s="34" t="s">
        <v>29</v>
      </c>
      <c r="L120" s="34" t="s">
        <v>29</v>
      </c>
      <c r="M120" s="33" t="s">
        <v>29</v>
      </c>
      <c r="N120" s="34"/>
      <c r="O120" s="33" t="s">
        <v>32</v>
      </c>
      <c r="P120" s="33"/>
      <c r="Q120" s="37">
        <v>160</v>
      </c>
      <c r="R120" s="35">
        <v>80</v>
      </c>
      <c r="S120" s="35"/>
      <c r="T120" s="36"/>
      <c r="U120" s="36"/>
      <c r="V120" s="37" t="s">
        <v>16</v>
      </c>
      <c r="W120" s="311">
        <v>31</v>
      </c>
      <c r="X120" s="178">
        <v>40</v>
      </c>
      <c r="Y120" s="70"/>
      <c r="Z120" s="37">
        <v>50</v>
      </c>
      <c r="AA120" s="68">
        <v>50</v>
      </c>
      <c r="AB120" s="210"/>
      <c r="AC120" s="135"/>
      <c r="AD120" s="34"/>
      <c r="AE120" s="34" t="s">
        <v>32</v>
      </c>
      <c r="AF120" s="34"/>
      <c r="AG120" s="34"/>
      <c r="AH120" s="34"/>
      <c r="AI120" s="34"/>
      <c r="AJ120" s="34"/>
      <c r="AK120" s="34"/>
      <c r="AL120" s="34"/>
      <c r="AM120" s="347">
        <v>1</v>
      </c>
      <c r="AN120" s="1301">
        <v>68.7</v>
      </c>
      <c r="AO120" s="1047"/>
      <c r="AP120" s="38"/>
      <c r="AQ120" s="219"/>
      <c r="AR120" s="531"/>
      <c r="AS120" s="531"/>
      <c r="AT120" s="531"/>
      <c r="AU120" s="335"/>
      <c r="AV120" s="1280"/>
      <c r="AW120" s="1553"/>
      <c r="AX120" s="1553"/>
      <c r="AY120" s="1047"/>
      <c r="AZ120" s="1047"/>
      <c r="BA120" s="1047"/>
      <c r="BB120" s="1047"/>
      <c r="BC120" s="1553"/>
      <c r="BD120" s="1553"/>
      <c r="BE120" s="72"/>
      <c r="BF120" s="72"/>
      <c r="BG120" s="8"/>
      <c r="BH120" s="72"/>
      <c r="BI120" s="72"/>
      <c r="BJ120" s="72"/>
      <c r="BK120" s="72"/>
      <c r="BL120" s="72"/>
      <c r="BM120" s="72"/>
      <c r="BN120" s="72"/>
    </row>
    <row r="121" spans="1:66" s="108" customFormat="1" ht="16.149999999999999" customHeight="1" x14ac:dyDescent="0.25">
      <c r="A121" s="533">
        <f t="shared" si="7"/>
        <v>116</v>
      </c>
      <c r="B121" s="81">
        <v>159</v>
      </c>
      <c r="C121" s="188">
        <v>113</v>
      </c>
      <c r="D121" s="73"/>
      <c r="E121" s="73"/>
      <c r="F121" s="139" t="s">
        <v>399</v>
      </c>
      <c r="G121" s="55" t="s">
        <v>400</v>
      </c>
      <c r="H121" s="1185" t="str">
        <f>'DEGREE MARK SIMULATOR'!AI93</f>
        <v xml:space="preserve"> </v>
      </c>
      <c r="I121" s="132" t="s">
        <v>682</v>
      </c>
      <c r="J121" s="793" t="s">
        <v>401</v>
      </c>
      <c r="K121" s="34" t="s">
        <v>29</v>
      </c>
      <c r="L121" s="34"/>
      <c r="M121" s="33"/>
      <c r="N121" s="34"/>
      <c r="O121" s="33" t="s">
        <v>32</v>
      </c>
      <c r="P121" s="33"/>
      <c r="Q121" s="37">
        <v>160</v>
      </c>
      <c r="R121" s="35">
        <v>80</v>
      </c>
      <c r="S121" s="35"/>
      <c r="T121" s="36">
        <v>80</v>
      </c>
      <c r="U121" s="36"/>
      <c r="V121" s="37" t="s">
        <v>17</v>
      </c>
      <c r="W121" s="311">
        <v>32</v>
      </c>
      <c r="X121" s="178">
        <v>41</v>
      </c>
      <c r="Y121" s="70"/>
      <c r="Z121" s="37"/>
      <c r="AA121" s="68"/>
      <c r="AB121" s="210"/>
      <c r="AC121" s="135"/>
      <c r="AD121" s="34" t="s">
        <v>32</v>
      </c>
      <c r="AE121" s="34"/>
      <c r="AF121" s="34"/>
      <c r="AG121" s="34"/>
      <c r="AH121" s="34"/>
      <c r="AI121" s="34"/>
      <c r="AJ121" s="34"/>
      <c r="AK121" s="34"/>
      <c r="AL121" s="34"/>
      <c r="AM121" s="347">
        <v>1</v>
      </c>
      <c r="AN121" s="1301">
        <v>77.099999999999994</v>
      </c>
      <c r="AO121" s="1047"/>
      <c r="AP121" s="38"/>
      <c r="AQ121" s="528"/>
      <c r="AR121" s="531"/>
      <c r="AS121" s="531"/>
      <c r="AT121" s="531"/>
      <c r="AU121" s="335"/>
      <c r="AV121" s="1280"/>
      <c r="AW121" s="1553"/>
      <c r="AX121" s="1553"/>
      <c r="AY121" s="1047"/>
      <c r="AZ121" s="1047"/>
      <c r="BA121" s="1047"/>
      <c r="BB121" s="1047"/>
      <c r="BC121" s="1578"/>
      <c r="BD121" s="1578"/>
      <c r="BE121" s="72"/>
      <c r="BF121" s="72"/>
      <c r="BG121" s="8"/>
      <c r="BH121" s="72"/>
      <c r="BI121" s="72"/>
      <c r="BJ121" s="72"/>
      <c r="BK121" s="72"/>
      <c r="BL121" s="72"/>
      <c r="BM121" s="72"/>
      <c r="BN121" s="72"/>
    </row>
    <row r="122" spans="1:66" s="108" customFormat="1" ht="16.149999999999999" customHeight="1" x14ac:dyDescent="0.25">
      <c r="A122" s="533">
        <f t="shared" si="7"/>
        <v>117</v>
      </c>
      <c r="B122" s="81">
        <v>132</v>
      </c>
      <c r="C122" s="188">
        <v>114</v>
      </c>
      <c r="D122" s="73" t="s">
        <v>29</v>
      </c>
      <c r="E122" s="73" t="s">
        <v>29</v>
      </c>
      <c r="F122" s="139" t="s">
        <v>405</v>
      </c>
      <c r="G122" s="55" t="s">
        <v>406</v>
      </c>
      <c r="H122" s="1185" t="str">
        <f>'DEGREE MARK SIMULATOR'!AI94</f>
        <v xml:space="preserve"> </v>
      </c>
      <c r="I122" s="132" t="s">
        <v>683</v>
      </c>
      <c r="J122" s="816" t="s">
        <v>407</v>
      </c>
      <c r="K122" s="34" t="s">
        <v>29</v>
      </c>
      <c r="L122" s="34" t="s">
        <v>29</v>
      </c>
      <c r="M122" s="33" t="s">
        <v>29</v>
      </c>
      <c r="N122" s="34"/>
      <c r="O122" s="33" t="s">
        <v>32</v>
      </c>
      <c r="P122" s="33"/>
      <c r="Q122" s="37">
        <v>120</v>
      </c>
      <c r="R122" s="35">
        <v>120</v>
      </c>
      <c r="S122" s="35" t="s">
        <v>408</v>
      </c>
      <c r="T122" s="36">
        <v>90</v>
      </c>
      <c r="U122" s="36">
        <v>30</v>
      </c>
      <c r="V122" s="37" t="s">
        <v>16</v>
      </c>
      <c r="W122" s="311">
        <v>33</v>
      </c>
      <c r="X122" s="90">
        <v>42</v>
      </c>
      <c r="Y122" s="100"/>
      <c r="Z122" s="97">
        <v>50</v>
      </c>
      <c r="AA122" s="99">
        <v>50</v>
      </c>
      <c r="AB122" s="210"/>
      <c r="AC122" s="135"/>
      <c r="AD122" s="34"/>
      <c r="AE122" s="34" t="s">
        <v>32</v>
      </c>
      <c r="AF122" s="34"/>
      <c r="AG122" s="34"/>
      <c r="AH122" s="34"/>
      <c r="AI122" s="34"/>
      <c r="AJ122" s="34"/>
      <c r="AK122" s="34"/>
      <c r="AL122" s="34"/>
      <c r="AM122" s="347">
        <v>1</v>
      </c>
      <c r="AN122" s="1301">
        <v>63.9</v>
      </c>
      <c r="AO122" s="1047"/>
      <c r="AP122" s="38"/>
      <c r="AQ122" s="528"/>
      <c r="AR122" s="531"/>
      <c r="AS122" s="531"/>
      <c r="AT122" s="531"/>
      <c r="AU122" s="335"/>
      <c r="AV122" s="1280"/>
      <c r="AW122" s="1553"/>
      <c r="AX122" s="1553"/>
      <c r="AY122" s="1047"/>
      <c r="AZ122" s="1047"/>
      <c r="BA122" s="1047"/>
      <c r="BB122" s="1047"/>
      <c r="BC122" s="1553"/>
      <c r="BD122" s="1553"/>
      <c r="BE122" s="72"/>
      <c r="BF122" s="72"/>
      <c r="BG122" s="8"/>
      <c r="BH122" s="72"/>
      <c r="BI122" s="72"/>
      <c r="BJ122" s="72"/>
      <c r="BK122" s="72"/>
      <c r="BL122" s="72"/>
      <c r="BM122" s="72"/>
      <c r="BN122" s="72"/>
    </row>
    <row r="123" spans="1:66" s="108" customFormat="1" ht="16.149999999999999" customHeight="1" x14ac:dyDescent="0.25">
      <c r="A123" s="533">
        <f t="shared" si="7"/>
        <v>118</v>
      </c>
      <c r="B123" s="60">
        <f>COUNT(C85:C122)</f>
        <v>38</v>
      </c>
      <c r="C123" s="184" t="s">
        <v>409</v>
      </c>
      <c r="D123" s="82"/>
      <c r="E123" s="82"/>
      <c r="F123" s="101"/>
      <c r="G123" s="101"/>
      <c r="H123" s="101"/>
      <c r="I123" s="131" t="s">
        <v>636</v>
      </c>
      <c r="J123" s="112"/>
      <c r="K123" s="119"/>
      <c r="L123" s="119"/>
      <c r="M123" s="120"/>
      <c r="N123" s="119"/>
      <c r="O123" s="119"/>
      <c r="P123" s="119"/>
      <c r="Q123" s="83"/>
      <c r="R123" s="83"/>
      <c r="S123" s="84"/>
      <c r="T123" s="84"/>
      <c r="U123" s="84"/>
      <c r="V123" s="83"/>
      <c r="W123" s="236"/>
      <c r="X123" s="83"/>
      <c r="Y123" s="83"/>
      <c r="Z123" s="83"/>
      <c r="AA123" s="83"/>
      <c r="AB123" s="1215"/>
      <c r="AC123" s="83"/>
      <c r="AD123" s="83"/>
      <c r="AE123" s="83"/>
      <c r="AF123" s="83"/>
      <c r="AG123" s="83"/>
      <c r="AH123" s="83"/>
      <c r="AI123" s="83"/>
      <c r="AJ123" s="83"/>
      <c r="AK123" s="83"/>
      <c r="AL123" s="85"/>
      <c r="AM123" s="1216"/>
      <c r="AN123" s="1217"/>
      <c r="AO123" s="8"/>
      <c r="AP123" s="38"/>
      <c r="AQ123" s="1281"/>
      <c r="AR123" s="531"/>
      <c r="AS123" s="531"/>
      <c r="AT123" s="531"/>
      <c r="AU123" s="81"/>
      <c r="AV123" s="1280"/>
      <c r="AW123" s="1121"/>
      <c r="AX123" s="8"/>
      <c r="AY123" s="1047"/>
      <c r="AZ123" s="1047"/>
      <c r="BA123" s="1047"/>
      <c r="BB123" s="1047"/>
      <c r="BC123" s="538"/>
      <c r="BD123" s="81"/>
      <c r="BE123" s="72"/>
      <c r="BF123" s="72"/>
      <c r="BG123" s="8"/>
      <c r="BH123" s="72"/>
      <c r="BI123" s="72"/>
      <c r="BJ123" s="72"/>
      <c r="BK123" s="72"/>
      <c r="BL123" s="72"/>
      <c r="BM123" s="72"/>
      <c r="BN123" s="72"/>
    </row>
    <row r="124" spans="1:66" s="108" customFormat="1" ht="16.149999999999999" customHeight="1" x14ac:dyDescent="0.25">
      <c r="A124" s="533">
        <f t="shared" si="7"/>
        <v>119</v>
      </c>
      <c r="B124" s="81">
        <v>188</v>
      </c>
      <c r="C124" s="188">
        <v>115</v>
      </c>
      <c r="D124" s="73" t="s">
        <v>29</v>
      </c>
      <c r="E124" s="73" t="s">
        <v>29</v>
      </c>
      <c r="F124" s="140" t="s">
        <v>969</v>
      </c>
      <c r="G124" s="140" t="s">
        <v>411</v>
      </c>
      <c r="H124" s="1293" t="str">
        <f>V124</f>
        <v>PROFILE</v>
      </c>
      <c r="I124" s="113" t="s">
        <v>412</v>
      </c>
      <c r="J124" s="805" t="s">
        <v>413</v>
      </c>
      <c r="K124" s="88" t="s">
        <v>29</v>
      </c>
      <c r="L124" s="88" t="s">
        <v>32</v>
      </c>
      <c r="M124" s="89" t="s">
        <v>32</v>
      </c>
      <c r="N124" s="88"/>
      <c r="O124" s="89"/>
      <c r="P124" s="89" t="s">
        <v>32</v>
      </c>
      <c r="Q124" s="90">
        <v>120</v>
      </c>
      <c r="R124" s="91"/>
      <c r="S124" s="91"/>
      <c r="T124" s="92"/>
      <c r="U124" s="92"/>
      <c r="V124" s="156" t="s">
        <v>63</v>
      </c>
      <c r="W124" s="311">
        <v>34</v>
      </c>
      <c r="X124" s="97">
        <v>43</v>
      </c>
      <c r="Y124" s="179"/>
      <c r="Z124" s="90"/>
      <c r="AA124" s="156"/>
      <c r="AB124" s="210"/>
      <c r="AC124" s="134" t="s">
        <v>32</v>
      </c>
      <c r="AD124" s="88"/>
      <c r="AE124" s="88"/>
      <c r="AF124" s="88"/>
      <c r="AG124" s="88"/>
      <c r="AH124" s="88"/>
      <c r="AI124" s="88"/>
      <c r="AJ124" s="88"/>
      <c r="AK124" s="88"/>
      <c r="AL124" s="88"/>
      <c r="AM124" s="347">
        <v>1</v>
      </c>
      <c r="AN124" s="1301">
        <v>67.099999999999994</v>
      </c>
      <c r="AO124" s="8"/>
      <c r="AP124" s="38"/>
      <c r="AQ124" s="1281"/>
      <c r="AR124" s="531"/>
      <c r="AS124" s="531"/>
      <c r="AT124" s="531"/>
      <c r="AU124" s="81"/>
      <c r="AV124" s="1280"/>
      <c r="AW124" s="1121"/>
      <c r="AX124" s="8"/>
      <c r="AY124" s="1047"/>
      <c r="AZ124" s="1047"/>
      <c r="BA124" s="1047"/>
      <c r="BB124" s="1047"/>
      <c r="BC124" s="538"/>
      <c r="BD124" s="81"/>
      <c r="BE124" s="72"/>
      <c r="BF124" s="72"/>
      <c r="BG124" s="8"/>
      <c r="BH124" s="72"/>
      <c r="BI124" s="72"/>
      <c r="BJ124" s="72"/>
      <c r="BK124" s="72"/>
      <c r="BL124" s="72"/>
      <c r="BM124" s="72"/>
      <c r="BN124" s="72"/>
    </row>
    <row r="125" spans="1:66" s="108" customFormat="1" ht="16.149999999999999" customHeight="1" x14ac:dyDescent="0.25">
      <c r="A125" s="533">
        <f t="shared" si="7"/>
        <v>120</v>
      </c>
      <c r="B125" s="81">
        <v>15</v>
      </c>
      <c r="C125" s="188">
        <v>116</v>
      </c>
      <c r="D125" s="73" t="s">
        <v>29</v>
      </c>
      <c r="E125" s="73" t="s">
        <v>29</v>
      </c>
      <c r="F125" s="140" t="s">
        <v>970</v>
      </c>
      <c r="G125" s="140" t="s">
        <v>415</v>
      </c>
      <c r="H125" s="1185" t="str">
        <f>'DEGREE MARK SIMULATOR'!AI96</f>
        <v xml:space="preserve"> </v>
      </c>
      <c r="I125" s="113" t="s">
        <v>416</v>
      </c>
      <c r="J125" s="812" t="s">
        <v>714</v>
      </c>
      <c r="K125" s="34" t="s">
        <v>29</v>
      </c>
      <c r="L125" s="34" t="s">
        <v>32</v>
      </c>
      <c r="M125" s="33" t="s">
        <v>29</v>
      </c>
      <c r="N125" s="34"/>
      <c r="O125" s="33"/>
      <c r="P125" s="33" t="s">
        <v>32</v>
      </c>
      <c r="Q125" s="37">
        <v>120</v>
      </c>
      <c r="R125" s="35"/>
      <c r="S125" s="35"/>
      <c r="T125" s="36"/>
      <c r="U125" s="36"/>
      <c r="V125" s="68" t="s">
        <v>417</v>
      </c>
      <c r="W125" s="311">
        <v>35</v>
      </c>
      <c r="X125" s="178">
        <v>44</v>
      </c>
      <c r="Y125" s="70"/>
      <c r="Z125" s="37"/>
      <c r="AA125" s="68"/>
      <c r="AB125" s="210"/>
      <c r="AC125" s="135"/>
      <c r="AD125" s="34"/>
      <c r="AE125" s="34"/>
      <c r="AF125" s="34"/>
      <c r="AG125" s="34"/>
      <c r="AH125" s="34"/>
      <c r="AI125" s="34"/>
      <c r="AJ125" s="34"/>
      <c r="AK125" s="34"/>
      <c r="AL125" s="34"/>
      <c r="AM125" s="347"/>
      <c r="AN125" s="1301">
        <v>63.9</v>
      </c>
      <c r="AO125" s="8"/>
      <c r="AP125" s="38"/>
      <c r="AQ125" s="219"/>
      <c r="AR125" s="1285"/>
      <c r="AS125" s="1285"/>
      <c r="AT125" s="1285"/>
      <c r="AU125" s="335"/>
      <c r="AV125" s="1280"/>
      <c r="AW125" s="1553"/>
      <c r="AX125" s="1553"/>
      <c r="AY125" s="1047"/>
      <c r="AZ125" s="1047"/>
      <c r="BA125" s="1047"/>
      <c r="BB125" s="1047"/>
      <c r="BC125" s="1553"/>
      <c r="BD125" s="1553"/>
      <c r="BE125" s="72"/>
      <c r="BF125" s="72"/>
      <c r="BG125" s="8"/>
      <c r="BH125" s="72"/>
      <c r="BI125" s="72"/>
      <c r="BJ125" s="72"/>
      <c r="BK125" s="72"/>
      <c r="BL125" s="72"/>
      <c r="BM125" s="72"/>
      <c r="BN125" s="72"/>
    </row>
    <row r="126" spans="1:66" s="108" customFormat="1" ht="16.149999999999999" customHeight="1" x14ac:dyDescent="0.25">
      <c r="A126" s="533">
        <f t="shared" si="7"/>
        <v>121</v>
      </c>
      <c r="B126" s="81">
        <v>21</v>
      </c>
      <c r="C126" s="188">
        <v>117</v>
      </c>
      <c r="D126" s="73" t="s">
        <v>29</v>
      </c>
      <c r="E126" s="73" t="s">
        <v>29</v>
      </c>
      <c r="F126" s="140" t="s">
        <v>971</v>
      </c>
      <c r="G126" s="140" t="s">
        <v>418</v>
      </c>
      <c r="H126" s="1185" t="str">
        <f>H125</f>
        <v xml:space="preserve"> </v>
      </c>
      <c r="I126" s="113" t="s">
        <v>684</v>
      </c>
      <c r="J126" s="793" t="s">
        <v>419</v>
      </c>
      <c r="K126" s="34" t="s">
        <v>29</v>
      </c>
      <c r="L126" s="34" t="s">
        <v>32</v>
      </c>
      <c r="M126" s="33" t="s">
        <v>29</v>
      </c>
      <c r="N126" s="34"/>
      <c r="O126" s="33"/>
      <c r="P126" s="33" t="s">
        <v>32</v>
      </c>
      <c r="Q126" s="37">
        <v>120</v>
      </c>
      <c r="R126" s="35"/>
      <c r="S126" s="35"/>
      <c r="T126" s="36"/>
      <c r="U126" s="36"/>
      <c r="V126" s="68" t="s">
        <v>417</v>
      </c>
      <c r="W126" s="311">
        <v>35</v>
      </c>
      <c r="X126" s="178"/>
      <c r="Y126" s="70"/>
      <c r="Z126" s="37"/>
      <c r="AA126" s="68"/>
      <c r="AB126" s="210"/>
      <c r="AC126" s="135"/>
      <c r="AD126" s="34"/>
      <c r="AE126" s="34"/>
      <c r="AF126" s="34"/>
      <c r="AG126" s="34"/>
      <c r="AH126" s="34"/>
      <c r="AI126" s="34"/>
      <c r="AJ126" s="34"/>
      <c r="AK126" s="34"/>
      <c r="AL126" s="34"/>
      <c r="AM126" s="347"/>
      <c r="AN126" s="1301">
        <v>60.8</v>
      </c>
      <c r="AO126" s="8"/>
      <c r="AP126" s="38"/>
      <c r="AQ126" s="219"/>
      <c r="AR126" s="1285"/>
      <c r="AS126" s="1285"/>
      <c r="AT126" s="1285"/>
      <c r="AU126" s="335"/>
      <c r="AV126" s="1280"/>
      <c r="AW126" s="1121"/>
      <c r="AX126" s="1121"/>
      <c r="AY126" s="1047"/>
      <c r="AZ126" s="1047"/>
      <c r="BA126" s="1047"/>
      <c r="BB126" s="1047"/>
      <c r="BC126" s="1121"/>
      <c r="BD126" s="1121"/>
      <c r="BE126" s="72"/>
      <c r="BF126" s="72"/>
      <c r="BG126" s="8"/>
      <c r="BH126" s="72"/>
      <c r="BI126" s="72"/>
      <c r="BJ126" s="72"/>
      <c r="BK126" s="72"/>
      <c r="BL126" s="72"/>
      <c r="BM126" s="72"/>
      <c r="BN126" s="72"/>
    </row>
    <row r="127" spans="1:66" s="108" customFormat="1" ht="16.149999999999999" customHeight="1" x14ac:dyDescent="0.25">
      <c r="A127" s="533">
        <f t="shared" si="7"/>
        <v>122</v>
      </c>
      <c r="B127" s="81">
        <v>62</v>
      </c>
      <c r="C127" s="188">
        <v>118</v>
      </c>
      <c r="D127" s="73" t="s">
        <v>29</v>
      </c>
      <c r="E127" s="73" t="s">
        <v>29</v>
      </c>
      <c r="F127" s="140" t="s">
        <v>420</v>
      </c>
      <c r="G127" s="140" t="s">
        <v>421</v>
      </c>
      <c r="H127" s="1185" t="str">
        <f t="shared" ref="H127:H134" si="13">H126</f>
        <v xml:space="preserve"> </v>
      </c>
      <c r="I127" s="113" t="s">
        <v>685</v>
      </c>
      <c r="J127" s="793" t="s">
        <v>715</v>
      </c>
      <c r="K127" s="34" t="s">
        <v>29</v>
      </c>
      <c r="L127" s="34" t="s">
        <v>29</v>
      </c>
      <c r="M127" s="33" t="s">
        <v>29</v>
      </c>
      <c r="N127" s="34"/>
      <c r="O127" s="33"/>
      <c r="P127" s="33" t="s">
        <v>32</v>
      </c>
      <c r="Q127" s="37">
        <v>120</v>
      </c>
      <c r="R127" s="35"/>
      <c r="S127" s="35"/>
      <c r="T127" s="36"/>
      <c r="U127" s="36"/>
      <c r="V127" s="68" t="s">
        <v>417</v>
      </c>
      <c r="W127" s="311">
        <v>35</v>
      </c>
      <c r="X127" s="178"/>
      <c r="Y127" s="70"/>
      <c r="Z127" s="37"/>
      <c r="AA127" s="68"/>
      <c r="AB127" s="210"/>
      <c r="AC127" s="135"/>
      <c r="AD127" s="34"/>
      <c r="AE127" s="34"/>
      <c r="AF127" s="34"/>
      <c r="AG127" s="34"/>
      <c r="AH127" s="34"/>
      <c r="AI127" s="34"/>
      <c r="AJ127" s="34"/>
      <c r="AK127" s="34"/>
      <c r="AL127" s="34"/>
      <c r="AM127" s="347"/>
      <c r="AN127" s="1301">
        <v>71.3</v>
      </c>
      <c r="AO127" s="8"/>
      <c r="AP127" s="38"/>
      <c r="AQ127" s="219"/>
      <c r="AR127" s="1285"/>
      <c r="AS127" s="1285"/>
      <c r="AT127" s="1285"/>
      <c r="AU127" s="335"/>
      <c r="AV127" s="1280"/>
      <c r="AW127" s="1121"/>
      <c r="AX127" s="1121"/>
      <c r="AY127" s="1047"/>
      <c r="AZ127" s="1047"/>
      <c r="BA127" s="1047"/>
      <c r="BB127" s="1047"/>
      <c r="BC127" s="1121"/>
      <c r="BD127" s="1121"/>
      <c r="BE127" s="72"/>
      <c r="BF127" s="72"/>
      <c r="BG127" s="8"/>
      <c r="BH127" s="72"/>
      <c r="BI127" s="72"/>
      <c r="BJ127" s="72"/>
      <c r="BK127" s="72"/>
      <c r="BL127" s="72"/>
      <c r="BM127" s="72"/>
      <c r="BN127" s="72"/>
    </row>
    <row r="128" spans="1:66" s="108" customFormat="1" ht="16.149999999999999" customHeight="1" x14ac:dyDescent="0.25">
      <c r="A128" s="533">
        <f t="shared" si="7"/>
        <v>123</v>
      </c>
      <c r="B128" s="81">
        <v>73</v>
      </c>
      <c r="C128" s="188">
        <v>119</v>
      </c>
      <c r="D128" s="73" t="s">
        <v>32</v>
      </c>
      <c r="E128" s="73" t="s">
        <v>29</v>
      </c>
      <c r="F128" s="102" t="s">
        <v>422</v>
      </c>
      <c r="G128" s="102" t="s">
        <v>423</v>
      </c>
      <c r="H128" s="1185" t="str">
        <f t="shared" si="13"/>
        <v xml:space="preserve"> </v>
      </c>
      <c r="I128" s="113" t="s">
        <v>424</v>
      </c>
      <c r="J128" s="793" t="s">
        <v>425</v>
      </c>
      <c r="K128" s="34" t="s">
        <v>29</v>
      </c>
      <c r="L128" s="34" t="s">
        <v>29</v>
      </c>
      <c r="M128" s="33" t="s">
        <v>29</v>
      </c>
      <c r="N128" s="34"/>
      <c r="O128" s="33"/>
      <c r="P128" s="33" t="s">
        <v>32</v>
      </c>
      <c r="Q128" s="37">
        <v>120</v>
      </c>
      <c r="R128" s="35"/>
      <c r="S128" s="35"/>
      <c r="T128" s="36"/>
      <c r="U128" s="36"/>
      <c r="V128" s="68" t="s">
        <v>417</v>
      </c>
      <c r="W128" s="311">
        <v>35</v>
      </c>
      <c r="X128" s="178"/>
      <c r="Y128" s="70"/>
      <c r="Z128" s="37"/>
      <c r="AA128" s="68"/>
      <c r="AB128" s="210"/>
      <c r="AC128" s="135"/>
      <c r="AD128" s="34"/>
      <c r="AE128" s="34"/>
      <c r="AF128" s="34"/>
      <c r="AG128" s="34"/>
      <c r="AH128" s="34"/>
      <c r="AI128" s="34"/>
      <c r="AJ128" s="34"/>
      <c r="AK128" s="34"/>
      <c r="AL128" s="34"/>
      <c r="AM128" s="347"/>
      <c r="AN128" s="1301" t="s">
        <v>1285</v>
      </c>
      <c r="AO128" s="8"/>
      <c r="AP128" s="38"/>
      <c r="AQ128" s="219"/>
      <c r="AR128" s="1285"/>
      <c r="AS128" s="1285"/>
      <c r="AT128" s="1285"/>
      <c r="AU128" s="335"/>
      <c r="AV128" s="1280"/>
      <c r="AW128" s="1121"/>
      <c r="AX128" s="1121"/>
      <c r="AY128" s="1047"/>
      <c r="AZ128" s="1047"/>
      <c r="BA128" s="1047"/>
      <c r="BB128" s="1047"/>
      <c r="BC128" s="1121"/>
      <c r="BD128" s="1121"/>
      <c r="BE128" s="72"/>
      <c r="BF128" s="72"/>
      <c r="BG128" s="8"/>
      <c r="BH128" s="72"/>
      <c r="BI128" s="72"/>
      <c r="BJ128" s="72"/>
      <c r="BK128" s="72"/>
      <c r="BL128" s="72"/>
      <c r="BM128" s="72"/>
      <c r="BN128" s="72"/>
    </row>
    <row r="129" spans="1:66" s="108" customFormat="1" ht="16.149999999999999" customHeight="1" x14ac:dyDescent="0.25">
      <c r="A129" s="533">
        <f t="shared" si="7"/>
        <v>124</v>
      </c>
      <c r="B129" s="81">
        <v>93</v>
      </c>
      <c r="C129" s="188">
        <v>120</v>
      </c>
      <c r="D129" s="73" t="s">
        <v>29</v>
      </c>
      <c r="E129" s="73" t="s">
        <v>29</v>
      </c>
      <c r="F129" s="140" t="s">
        <v>972</v>
      </c>
      <c r="G129" s="140" t="s">
        <v>426</v>
      </c>
      <c r="H129" s="1185" t="str">
        <f t="shared" si="13"/>
        <v xml:space="preserve"> </v>
      </c>
      <c r="I129" s="113" t="s">
        <v>686</v>
      </c>
      <c r="J129" s="793" t="s">
        <v>427</v>
      </c>
      <c r="K129" s="34" t="s">
        <v>29</v>
      </c>
      <c r="L129" s="34" t="s">
        <v>32</v>
      </c>
      <c r="M129" s="33" t="s">
        <v>29</v>
      </c>
      <c r="N129" s="34"/>
      <c r="O129" s="33"/>
      <c r="P129" s="33" t="s">
        <v>32</v>
      </c>
      <c r="Q129" s="37">
        <v>120</v>
      </c>
      <c r="R129" s="35"/>
      <c r="S129" s="35"/>
      <c r="T129" s="36"/>
      <c r="U129" s="36"/>
      <c r="V129" s="68" t="s">
        <v>417</v>
      </c>
      <c r="W129" s="311">
        <v>35</v>
      </c>
      <c r="X129" s="178"/>
      <c r="Y129" s="70"/>
      <c r="Z129" s="37"/>
      <c r="AA129" s="68"/>
      <c r="AB129" s="210"/>
      <c r="AC129" s="135"/>
      <c r="AD129" s="34"/>
      <c r="AE129" s="34"/>
      <c r="AF129" s="34"/>
      <c r="AG129" s="34"/>
      <c r="AH129" s="34"/>
      <c r="AI129" s="34"/>
      <c r="AJ129" s="34"/>
      <c r="AK129" s="34"/>
      <c r="AL129" s="34"/>
      <c r="AM129" s="347"/>
      <c r="AN129" s="1301">
        <v>75.099999999999994</v>
      </c>
      <c r="AO129" s="8"/>
      <c r="AP129" s="38"/>
      <c r="AQ129" s="219"/>
      <c r="AR129" s="1285"/>
      <c r="AS129" s="1285"/>
      <c r="AT129" s="1285"/>
      <c r="AU129" s="335"/>
      <c r="AV129" s="1280"/>
      <c r="AW129" s="1121"/>
      <c r="AX129" s="1121"/>
      <c r="AY129" s="1047"/>
      <c r="AZ129" s="1047"/>
      <c r="BA129" s="1047"/>
      <c r="BB129" s="1047"/>
      <c r="BC129" s="1121"/>
      <c r="BD129" s="1121"/>
      <c r="BE129" s="72"/>
      <c r="BF129" s="72"/>
      <c r="BG129" s="8"/>
      <c r="BH129" s="72"/>
      <c r="BI129" s="72"/>
      <c r="BJ129" s="72"/>
      <c r="BK129" s="72"/>
      <c r="BL129" s="72"/>
      <c r="BM129" s="72"/>
      <c r="BN129" s="72"/>
    </row>
    <row r="130" spans="1:66" s="108" customFormat="1" ht="16.149999999999999" customHeight="1" x14ac:dyDescent="0.25">
      <c r="A130" s="533">
        <f t="shared" si="7"/>
        <v>125</v>
      </c>
      <c r="B130" s="81">
        <v>119</v>
      </c>
      <c r="C130" s="188">
        <v>121</v>
      </c>
      <c r="D130" s="73" t="s">
        <v>29</v>
      </c>
      <c r="E130" s="73" t="s">
        <v>29</v>
      </c>
      <c r="F130" s="140" t="s">
        <v>428</v>
      </c>
      <c r="G130" s="140" t="s">
        <v>429</v>
      </c>
      <c r="H130" s="1185" t="str">
        <f t="shared" si="13"/>
        <v xml:space="preserve"> </v>
      </c>
      <c r="I130" s="113" t="s">
        <v>687</v>
      </c>
      <c r="J130" s="793" t="s">
        <v>430</v>
      </c>
      <c r="K130" s="88" t="s">
        <v>29</v>
      </c>
      <c r="L130" s="88" t="s">
        <v>29</v>
      </c>
      <c r="M130" s="89" t="s">
        <v>32</v>
      </c>
      <c r="N130" s="88"/>
      <c r="O130" s="89"/>
      <c r="P130" s="89" t="s">
        <v>32</v>
      </c>
      <c r="Q130" s="90">
        <v>120</v>
      </c>
      <c r="R130" s="91"/>
      <c r="S130" s="91"/>
      <c r="T130" s="92"/>
      <c r="U130" s="92"/>
      <c r="V130" s="68" t="s">
        <v>417</v>
      </c>
      <c r="W130" s="311">
        <v>35</v>
      </c>
      <c r="X130" s="178"/>
      <c r="Y130" s="179"/>
      <c r="Z130" s="90"/>
      <c r="AA130" s="156"/>
      <c r="AB130" s="210"/>
      <c r="AC130" s="134"/>
      <c r="AD130" s="88"/>
      <c r="AE130" s="88"/>
      <c r="AF130" s="88"/>
      <c r="AG130" s="88"/>
      <c r="AH130" s="88"/>
      <c r="AI130" s="88"/>
      <c r="AJ130" s="88"/>
      <c r="AK130" s="88"/>
      <c r="AL130" s="88"/>
      <c r="AM130" s="347"/>
      <c r="AN130" s="1301">
        <v>74.400000000000006</v>
      </c>
      <c r="AO130" s="8"/>
      <c r="AP130" s="38"/>
      <c r="AQ130" s="219"/>
      <c r="AR130" s="1285"/>
      <c r="AS130" s="1285"/>
      <c r="AT130" s="1285"/>
      <c r="AU130" s="335"/>
      <c r="AV130" s="1280"/>
      <c r="AW130" s="1121"/>
      <c r="AX130" s="1121"/>
      <c r="AY130" s="1047"/>
      <c r="AZ130" s="1047"/>
      <c r="BA130" s="1047"/>
      <c r="BB130" s="1047"/>
      <c r="BC130" s="1121"/>
      <c r="BD130" s="1121"/>
      <c r="BE130" s="72"/>
      <c r="BF130" s="72"/>
      <c r="BG130" s="8"/>
      <c r="BH130" s="72"/>
      <c r="BI130" s="72"/>
      <c r="BJ130" s="72"/>
      <c r="BK130" s="72"/>
      <c r="BL130" s="72"/>
      <c r="BM130" s="72"/>
      <c r="BN130" s="72"/>
    </row>
    <row r="131" spans="1:66" s="108" customFormat="1" ht="16.149999999999999" customHeight="1" x14ac:dyDescent="0.25">
      <c r="A131" s="533">
        <f t="shared" si="7"/>
        <v>126</v>
      </c>
      <c r="B131" s="81">
        <v>173</v>
      </c>
      <c r="C131" s="188">
        <v>122</v>
      </c>
      <c r="D131" s="73" t="s">
        <v>29</v>
      </c>
      <c r="E131" s="73" t="s">
        <v>29</v>
      </c>
      <c r="F131" s="140" t="s">
        <v>973</v>
      </c>
      <c r="G131" s="140" t="s">
        <v>431</v>
      </c>
      <c r="H131" s="1185" t="str">
        <f t="shared" si="13"/>
        <v xml:space="preserve"> </v>
      </c>
      <c r="I131" s="113" t="s">
        <v>688</v>
      </c>
      <c r="J131" s="793" t="s">
        <v>432</v>
      </c>
      <c r="K131" s="34" t="s">
        <v>29</v>
      </c>
      <c r="L131" s="34" t="s">
        <v>32</v>
      </c>
      <c r="M131" s="33" t="s">
        <v>32</v>
      </c>
      <c r="N131" s="34"/>
      <c r="O131" s="33"/>
      <c r="P131" s="33" t="s">
        <v>32</v>
      </c>
      <c r="Q131" s="37">
        <v>120</v>
      </c>
      <c r="R131" s="35"/>
      <c r="S131" s="35"/>
      <c r="T131" s="36"/>
      <c r="U131" s="36"/>
      <c r="V131" s="68" t="s">
        <v>417</v>
      </c>
      <c r="W131" s="311">
        <v>35</v>
      </c>
      <c r="X131" s="178"/>
      <c r="Y131" s="70"/>
      <c r="Z131" s="37"/>
      <c r="AA131" s="68"/>
      <c r="AB131" s="210"/>
      <c r="AC131" s="135"/>
      <c r="AD131" s="34"/>
      <c r="AE131" s="34"/>
      <c r="AF131" s="34"/>
      <c r="AG131" s="34"/>
      <c r="AH131" s="34"/>
      <c r="AI131" s="34"/>
      <c r="AJ131" s="34"/>
      <c r="AK131" s="34"/>
      <c r="AL131" s="34"/>
      <c r="AM131" s="347"/>
      <c r="AN131" s="1301">
        <v>71.3</v>
      </c>
      <c r="AO131" s="8"/>
      <c r="AP131" s="38"/>
      <c r="AQ131" s="219"/>
      <c r="AR131" s="1285"/>
      <c r="AS131" s="1285"/>
      <c r="AT131" s="1285"/>
      <c r="AU131" s="335"/>
      <c r="AV131" s="1280"/>
      <c r="AW131" s="1121"/>
      <c r="AX131" s="1121"/>
      <c r="AY131" s="1047"/>
      <c r="AZ131" s="1047"/>
      <c r="BA131" s="1047"/>
      <c r="BB131" s="1047"/>
      <c r="BC131" s="1121"/>
      <c r="BD131" s="1121"/>
      <c r="BE131" s="72"/>
      <c r="BF131" s="72"/>
      <c r="BG131" s="8"/>
      <c r="BH131" s="72"/>
      <c r="BI131" s="72"/>
      <c r="BJ131" s="72"/>
      <c r="BK131" s="72"/>
      <c r="BL131" s="72"/>
      <c r="BM131" s="72"/>
      <c r="BN131" s="72"/>
    </row>
    <row r="132" spans="1:66" s="108" customFormat="1" ht="16.149999999999999" customHeight="1" x14ac:dyDescent="0.25">
      <c r="A132" s="533">
        <f t="shared" si="7"/>
        <v>127</v>
      </c>
      <c r="B132" s="81">
        <v>174</v>
      </c>
      <c r="C132" s="188">
        <v>123</v>
      </c>
      <c r="D132" s="73"/>
      <c r="E132" s="73"/>
      <c r="F132" s="140" t="s">
        <v>433</v>
      </c>
      <c r="G132" s="140" t="s">
        <v>434</v>
      </c>
      <c r="H132" s="1185" t="str">
        <f t="shared" si="13"/>
        <v xml:space="preserve"> </v>
      </c>
      <c r="I132" s="113" t="s">
        <v>435</v>
      </c>
      <c r="J132" s="813" t="s">
        <v>436</v>
      </c>
      <c r="K132" s="34"/>
      <c r="L132" s="34"/>
      <c r="M132" s="33"/>
      <c r="N132" s="34"/>
      <c r="O132" s="33"/>
      <c r="P132" s="33" t="s">
        <v>32</v>
      </c>
      <c r="Q132" s="37">
        <v>120</v>
      </c>
      <c r="R132" s="35"/>
      <c r="S132" s="35"/>
      <c r="T132" s="36"/>
      <c r="U132" s="36"/>
      <c r="V132" s="68" t="s">
        <v>417</v>
      </c>
      <c r="W132" s="311">
        <v>35</v>
      </c>
      <c r="X132" s="178"/>
      <c r="Y132" s="70"/>
      <c r="Z132" s="37"/>
      <c r="AA132" s="68"/>
      <c r="AB132" s="210"/>
      <c r="AC132" s="135"/>
      <c r="AD132" s="34"/>
      <c r="AE132" s="34"/>
      <c r="AF132" s="34"/>
      <c r="AG132" s="34"/>
      <c r="AH132" s="34"/>
      <c r="AI132" s="34"/>
      <c r="AJ132" s="34"/>
      <c r="AK132" s="34"/>
      <c r="AL132" s="34"/>
      <c r="AM132" s="347"/>
      <c r="AN132" s="1301" t="s">
        <v>1285</v>
      </c>
      <c r="AO132" s="8"/>
      <c r="AP132" s="38"/>
      <c r="AQ132" s="219"/>
      <c r="AR132" s="1285"/>
      <c r="AS132" s="1285"/>
      <c r="AT132" s="1285"/>
      <c r="AU132" s="335"/>
      <c r="AV132" s="1280"/>
      <c r="AW132" s="1121"/>
      <c r="AX132" s="1121"/>
      <c r="AY132" s="1047"/>
      <c r="AZ132" s="1047"/>
      <c r="BA132" s="1047"/>
      <c r="BB132" s="1047"/>
      <c r="BC132" s="1121"/>
      <c r="BD132" s="1121"/>
      <c r="BE132" s="72"/>
      <c r="BF132" s="72"/>
      <c r="BG132" s="8"/>
      <c r="BH132" s="72"/>
      <c r="BI132" s="72"/>
      <c r="BJ132" s="72"/>
      <c r="BK132" s="72"/>
      <c r="BL132" s="72"/>
      <c r="BM132" s="72"/>
      <c r="BN132" s="72"/>
    </row>
    <row r="133" spans="1:66" s="108" customFormat="1" ht="16.149999999999999" customHeight="1" x14ac:dyDescent="0.25">
      <c r="A133" s="533">
        <f t="shared" si="7"/>
        <v>128</v>
      </c>
      <c r="B133" s="81">
        <v>184</v>
      </c>
      <c r="C133" s="188">
        <v>124</v>
      </c>
      <c r="D133" s="73" t="s">
        <v>32</v>
      </c>
      <c r="E133" s="73" t="s">
        <v>29</v>
      </c>
      <c r="F133" s="102" t="s">
        <v>437</v>
      </c>
      <c r="G133" s="102" t="s">
        <v>438</v>
      </c>
      <c r="H133" s="1185" t="str">
        <f t="shared" si="13"/>
        <v xml:space="preserve"> </v>
      </c>
      <c r="I133" s="113" t="s">
        <v>689</v>
      </c>
      <c r="J133" s="793" t="s">
        <v>439</v>
      </c>
      <c r="K133" s="34" t="s">
        <v>29</v>
      </c>
      <c r="L133" s="34" t="s">
        <v>29</v>
      </c>
      <c r="M133" s="33" t="s">
        <v>32</v>
      </c>
      <c r="N133" s="34"/>
      <c r="O133" s="33"/>
      <c r="P133" s="33" t="s">
        <v>32</v>
      </c>
      <c r="Q133" s="37">
        <v>120</v>
      </c>
      <c r="R133" s="35"/>
      <c r="S133" s="35"/>
      <c r="T133" s="36"/>
      <c r="U133" s="36"/>
      <c r="V133" s="68" t="s">
        <v>417</v>
      </c>
      <c r="W133" s="311">
        <v>35</v>
      </c>
      <c r="X133" s="178"/>
      <c r="Y133" s="70"/>
      <c r="Z133" s="37"/>
      <c r="AA133" s="68"/>
      <c r="AB133" s="210"/>
      <c r="AC133" s="135"/>
      <c r="AD133" s="34"/>
      <c r="AE133" s="34"/>
      <c r="AF133" s="34"/>
      <c r="AG133" s="34"/>
      <c r="AH133" s="34"/>
      <c r="AI133" s="34"/>
      <c r="AJ133" s="34"/>
      <c r="AK133" s="34"/>
      <c r="AL133" s="34"/>
      <c r="AM133" s="347"/>
      <c r="AN133" s="1301">
        <v>71.3</v>
      </c>
      <c r="AO133" s="8"/>
      <c r="AP133" s="38"/>
      <c r="AQ133" s="219"/>
      <c r="AR133" s="1285"/>
      <c r="AS133" s="1285"/>
      <c r="AT133" s="1285"/>
      <c r="AU133" s="335"/>
      <c r="AV133" s="1280"/>
      <c r="AW133" s="1121"/>
      <c r="AX133" s="1121"/>
      <c r="AY133" s="1047"/>
      <c r="AZ133" s="1047"/>
      <c r="BA133" s="1047"/>
      <c r="BB133" s="1047"/>
      <c r="BC133" s="1121"/>
      <c r="BD133" s="1121"/>
      <c r="BE133" s="72"/>
      <c r="BF133" s="72"/>
      <c r="BG133" s="8"/>
      <c r="BH133" s="72"/>
      <c r="BI133" s="72"/>
      <c r="BJ133" s="72"/>
      <c r="BK133" s="72"/>
      <c r="BL133" s="72"/>
      <c r="BM133" s="72"/>
      <c r="BN133" s="72"/>
    </row>
    <row r="134" spans="1:66" s="108" customFormat="1" ht="16.149999999999999" customHeight="1" x14ac:dyDescent="0.25">
      <c r="A134" s="533">
        <f t="shared" si="7"/>
        <v>129</v>
      </c>
      <c r="B134" s="81">
        <v>63</v>
      </c>
      <c r="C134" s="188">
        <v>125</v>
      </c>
      <c r="D134" s="73" t="s">
        <v>29</v>
      </c>
      <c r="E134" s="73" t="s">
        <v>32</v>
      </c>
      <c r="F134" s="102" t="s">
        <v>440</v>
      </c>
      <c r="G134" s="102" t="s">
        <v>441</v>
      </c>
      <c r="H134" s="1185" t="str">
        <f t="shared" si="13"/>
        <v xml:space="preserve"> </v>
      </c>
      <c r="I134" s="113" t="s">
        <v>690</v>
      </c>
      <c r="J134" s="806" t="s">
        <v>442</v>
      </c>
      <c r="K134" s="95" t="s">
        <v>29</v>
      </c>
      <c r="L134" s="95" t="s">
        <v>29</v>
      </c>
      <c r="M134" s="96" t="s">
        <v>29</v>
      </c>
      <c r="N134" s="95"/>
      <c r="O134" s="96"/>
      <c r="P134" s="96" t="s">
        <v>32</v>
      </c>
      <c r="Q134" s="97">
        <v>120</v>
      </c>
      <c r="R134" s="47"/>
      <c r="S134" s="47"/>
      <c r="T134" s="98"/>
      <c r="U134" s="98"/>
      <c r="V134" s="99" t="s">
        <v>417</v>
      </c>
      <c r="W134" s="311">
        <v>35</v>
      </c>
      <c r="X134" s="90"/>
      <c r="Y134" s="100"/>
      <c r="Z134" s="97"/>
      <c r="AA134" s="99"/>
      <c r="AB134" s="210"/>
      <c r="AC134" s="136"/>
      <c r="AD134" s="95"/>
      <c r="AE134" s="95"/>
      <c r="AF134" s="95"/>
      <c r="AG134" s="95"/>
      <c r="AH134" s="95"/>
      <c r="AI134" s="95"/>
      <c r="AJ134" s="95"/>
      <c r="AK134" s="95"/>
      <c r="AL134" s="95"/>
      <c r="AM134" s="347">
        <v>10</v>
      </c>
      <c r="AN134" s="1301">
        <v>70.400000000000006</v>
      </c>
      <c r="AO134" s="8"/>
      <c r="AP134" s="38"/>
      <c r="AQ134" s="219"/>
      <c r="AR134" s="1285"/>
      <c r="AS134" s="1285"/>
      <c r="AT134" s="1285"/>
      <c r="AU134" s="335"/>
      <c r="AV134" s="1280"/>
      <c r="AW134" s="1121"/>
      <c r="AX134" s="1121"/>
      <c r="AY134" s="1047"/>
      <c r="AZ134" s="1047"/>
      <c r="BA134" s="1047"/>
      <c r="BB134" s="1047"/>
      <c r="BC134" s="1121"/>
      <c r="BD134" s="1121"/>
      <c r="BE134" s="72"/>
      <c r="BF134" s="72"/>
      <c r="BG134" s="8"/>
      <c r="BH134" s="1284"/>
      <c r="BI134" s="72"/>
      <c r="BJ134" s="72"/>
      <c r="BK134" s="72"/>
      <c r="BL134" s="72"/>
      <c r="BM134" s="72"/>
      <c r="BN134" s="72"/>
    </row>
    <row r="135" spans="1:66" s="108" customFormat="1" ht="16.149999999999999" customHeight="1" x14ac:dyDescent="0.25">
      <c r="A135" s="533">
        <f t="shared" si="7"/>
        <v>130</v>
      </c>
      <c r="B135" s="60"/>
      <c r="C135" s="184" t="s">
        <v>443</v>
      </c>
      <c r="D135" s="82"/>
      <c r="E135" s="82"/>
      <c r="F135" s="101"/>
      <c r="G135" s="101"/>
      <c r="H135" s="101"/>
      <c r="I135" s="131" t="s">
        <v>636</v>
      </c>
      <c r="J135" s="112"/>
      <c r="K135" s="119"/>
      <c r="L135" s="119"/>
      <c r="M135" s="120"/>
      <c r="N135" s="119"/>
      <c r="O135" s="119"/>
      <c r="P135" s="119"/>
      <c r="Q135" s="83"/>
      <c r="R135" s="83"/>
      <c r="S135" s="84"/>
      <c r="T135" s="84"/>
      <c r="U135" s="84"/>
      <c r="V135" s="83"/>
      <c r="W135" s="236"/>
      <c r="X135" s="83"/>
      <c r="Y135" s="83"/>
      <c r="Z135" s="83"/>
      <c r="AA135" s="83"/>
      <c r="AB135" s="1215"/>
      <c r="AC135" s="83"/>
      <c r="AD135" s="83"/>
      <c r="AE135" s="83"/>
      <c r="AF135" s="83"/>
      <c r="AG135" s="83"/>
      <c r="AH135" s="83"/>
      <c r="AI135" s="83"/>
      <c r="AJ135" s="83"/>
      <c r="AK135" s="83"/>
      <c r="AL135" s="85"/>
      <c r="AM135" s="1216"/>
      <c r="AN135" s="1217"/>
      <c r="AO135" s="8"/>
      <c r="AP135" s="38"/>
      <c r="AQ135" s="219"/>
      <c r="AR135" s="1285"/>
      <c r="AS135" s="1285"/>
      <c r="AT135" s="1285"/>
      <c r="AU135" s="335"/>
      <c r="AV135" s="1280"/>
      <c r="AW135" s="1121"/>
      <c r="AX135" s="1121"/>
      <c r="AY135" s="1047"/>
      <c r="AZ135" s="1047"/>
      <c r="BA135" s="1047"/>
      <c r="BB135" s="1047"/>
      <c r="BC135" s="1121"/>
      <c r="BD135" s="1121"/>
      <c r="BE135" s="72"/>
      <c r="BF135" s="72"/>
      <c r="BG135" s="8"/>
      <c r="BH135" s="1284"/>
      <c r="BI135" s="72"/>
      <c r="BJ135" s="72"/>
      <c r="BK135" s="72"/>
      <c r="BL135" s="72"/>
      <c r="BM135" s="72"/>
      <c r="BN135" s="72"/>
    </row>
    <row r="136" spans="1:66" s="108" customFormat="1" ht="16.149999999999999" customHeight="1" x14ac:dyDescent="0.25">
      <c r="A136" s="533">
        <f t="shared" ref="A136:A199" si="14">A135+1</f>
        <v>131</v>
      </c>
      <c r="B136" s="81">
        <v>160</v>
      </c>
      <c r="C136" s="188">
        <v>126</v>
      </c>
      <c r="D136" s="73" t="s">
        <v>29</v>
      </c>
      <c r="E136" s="73" t="s">
        <v>29</v>
      </c>
      <c r="F136" s="140" t="s">
        <v>974</v>
      </c>
      <c r="G136" s="140" t="s">
        <v>444</v>
      </c>
      <c r="H136" s="1185" t="str">
        <f>H137</f>
        <v xml:space="preserve"> </v>
      </c>
      <c r="I136" s="113" t="s">
        <v>445</v>
      </c>
      <c r="J136" s="805" t="s">
        <v>446</v>
      </c>
      <c r="K136" s="154" t="s">
        <v>29</v>
      </c>
      <c r="L136" s="154" t="s">
        <v>32</v>
      </c>
      <c r="M136" s="155" t="s">
        <v>29</v>
      </c>
      <c r="N136" s="154"/>
      <c r="O136" s="155"/>
      <c r="P136" s="155" t="s">
        <v>32</v>
      </c>
      <c r="Q136" s="178">
        <v>100</v>
      </c>
      <c r="R136" s="49">
        <v>20</v>
      </c>
      <c r="S136" s="762"/>
      <c r="T136" s="762"/>
      <c r="U136" s="762">
        <v>20</v>
      </c>
      <c r="V136" s="156" t="s">
        <v>417</v>
      </c>
      <c r="W136" s="311">
        <v>36</v>
      </c>
      <c r="X136" s="97"/>
      <c r="Y136" s="70"/>
      <c r="Z136" s="37"/>
      <c r="AA136" s="68"/>
      <c r="AB136" s="210"/>
      <c r="AC136" s="135"/>
      <c r="AD136" s="34"/>
      <c r="AE136" s="34"/>
      <c r="AF136" s="34"/>
      <c r="AG136" s="34"/>
      <c r="AH136" s="34"/>
      <c r="AI136" s="34"/>
      <c r="AJ136" s="34"/>
      <c r="AK136" s="34"/>
      <c r="AL136" s="34"/>
      <c r="AM136" s="347"/>
      <c r="AN136" s="1301">
        <v>75.3</v>
      </c>
      <c r="AO136" s="8"/>
      <c r="AP136" s="38"/>
      <c r="AQ136" s="219"/>
      <c r="AR136" s="1285"/>
      <c r="AS136" s="1285"/>
      <c r="AT136" s="1285"/>
      <c r="AU136" s="335"/>
      <c r="AV136" s="1280"/>
      <c r="AW136" s="1121"/>
      <c r="AX136" s="1121"/>
      <c r="AY136" s="1047"/>
      <c r="AZ136" s="1047"/>
      <c r="BA136" s="1047"/>
      <c r="BB136" s="1047"/>
      <c r="BC136" s="1121"/>
      <c r="BD136" s="1121"/>
      <c r="BE136" s="72"/>
      <c r="BF136" s="72"/>
      <c r="BG136" s="8"/>
      <c r="BH136" s="1284"/>
      <c r="BI136" s="72"/>
      <c r="BJ136" s="72"/>
      <c r="BK136" s="72"/>
      <c r="BL136" s="72"/>
      <c r="BM136" s="72"/>
      <c r="BN136" s="72"/>
    </row>
    <row r="137" spans="1:66" s="108" customFormat="1" ht="16.149999999999999" customHeight="1" x14ac:dyDescent="0.25">
      <c r="A137" s="533">
        <f t="shared" si="14"/>
        <v>132</v>
      </c>
      <c r="B137" s="81">
        <v>40</v>
      </c>
      <c r="C137" s="233">
        <v>127</v>
      </c>
      <c r="D137" s="73" t="s">
        <v>29</v>
      </c>
      <c r="E137" s="73" t="s">
        <v>29</v>
      </c>
      <c r="F137" s="140" t="s">
        <v>447</v>
      </c>
      <c r="G137" s="140" t="s">
        <v>448</v>
      </c>
      <c r="H137" s="1185" t="str">
        <f>'DEGREE MARK SIMULATOR'!AI97</f>
        <v xml:space="preserve"> </v>
      </c>
      <c r="I137" s="113" t="s">
        <v>449</v>
      </c>
      <c r="J137" s="806" t="s">
        <v>716</v>
      </c>
      <c r="K137" s="95" t="s">
        <v>29</v>
      </c>
      <c r="L137" s="95" t="s">
        <v>29</v>
      </c>
      <c r="M137" s="96" t="s">
        <v>29</v>
      </c>
      <c r="N137" s="95"/>
      <c r="O137" s="96"/>
      <c r="P137" s="96" t="s">
        <v>32</v>
      </c>
      <c r="Q137" s="97">
        <v>100</v>
      </c>
      <c r="R137" s="47">
        <v>20</v>
      </c>
      <c r="S137" s="98"/>
      <c r="T137" s="98"/>
      <c r="U137" s="98">
        <v>20</v>
      </c>
      <c r="V137" s="99" t="s">
        <v>417</v>
      </c>
      <c r="W137" s="311">
        <v>36</v>
      </c>
      <c r="X137" s="90">
        <v>45</v>
      </c>
      <c r="Y137" s="70"/>
      <c r="Z137" s="37"/>
      <c r="AA137" s="68"/>
      <c r="AB137" s="210"/>
      <c r="AC137" s="135"/>
      <c r="AD137" s="34"/>
      <c r="AE137" s="34"/>
      <c r="AF137" s="34"/>
      <c r="AG137" s="34"/>
      <c r="AH137" s="34"/>
      <c r="AI137" s="34"/>
      <c r="AJ137" s="34"/>
      <c r="AK137" s="34"/>
      <c r="AL137" s="34"/>
      <c r="AM137" s="156">
        <v>2</v>
      </c>
      <c r="AN137" s="1301">
        <v>76.099999999999994</v>
      </c>
      <c r="AO137" s="8"/>
      <c r="AP137" s="38"/>
      <c r="AQ137" s="219"/>
      <c r="AR137" s="1285"/>
      <c r="AS137" s="1285"/>
      <c r="AT137" s="1285"/>
      <c r="AU137" s="335"/>
      <c r="AV137" s="1280"/>
      <c r="AW137" s="1553"/>
      <c r="AX137" s="1553"/>
      <c r="AY137" s="1047"/>
      <c r="AZ137" s="1047"/>
      <c r="BA137" s="1047"/>
      <c r="BB137" s="1047"/>
      <c r="BC137" s="1553"/>
      <c r="BD137" s="1553"/>
      <c r="BE137" s="72"/>
      <c r="BF137" s="72"/>
      <c r="BG137" s="8"/>
      <c r="BH137" s="1284"/>
      <c r="BI137" s="72"/>
      <c r="BJ137" s="72"/>
      <c r="BK137" s="72"/>
      <c r="BL137" s="72"/>
      <c r="BM137" s="72"/>
      <c r="BN137" s="72"/>
    </row>
    <row r="138" spans="1:66" s="108" customFormat="1" ht="16.149999999999999" customHeight="1" x14ac:dyDescent="0.25">
      <c r="A138" s="533">
        <f t="shared" si="14"/>
        <v>133</v>
      </c>
      <c r="B138" s="60"/>
      <c r="C138" s="184" t="s">
        <v>748</v>
      </c>
      <c r="D138" s="26"/>
      <c r="E138" s="26"/>
      <c r="F138" s="104"/>
      <c r="G138" s="104"/>
      <c r="H138" s="104"/>
      <c r="I138" s="114" t="s">
        <v>636</v>
      </c>
      <c r="J138" s="101"/>
      <c r="K138" s="27"/>
      <c r="L138" s="27"/>
      <c r="M138" s="28"/>
      <c r="N138" s="27"/>
      <c r="O138" s="28"/>
      <c r="P138" s="28"/>
      <c r="Q138" s="29"/>
      <c r="R138" s="30"/>
      <c r="S138" s="30"/>
      <c r="T138" s="31"/>
      <c r="U138" s="31"/>
      <c r="V138" s="29"/>
      <c r="W138" s="239"/>
      <c r="X138" s="63"/>
      <c r="Y138" s="29"/>
      <c r="Z138" s="29"/>
      <c r="AA138" s="29"/>
      <c r="AB138" s="210"/>
      <c r="AC138" s="27"/>
      <c r="AD138" s="27"/>
      <c r="AE138" s="27"/>
      <c r="AF138" s="27"/>
      <c r="AG138" s="27"/>
      <c r="AH138" s="27"/>
      <c r="AI138" s="27"/>
      <c r="AJ138" s="27"/>
      <c r="AK138" s="27"/>
      <c r="AL138" s="64"/>
      <c r="AM138" s="1207">
        <v>127</v>
      </c>
      <c r="AN138" s="1209"/>
      <c r="AO138" s="8"/>
      <c r="AP138" s="38"/>
      <c r="AQ138" s="9"/>
      <c r="AR138" s="9"/>
      <c r="AS138" s="8"/>
      <c r="AT138" s="8"/>
      <c r="AU138" s="8"/>
      <c r="AV138" s="72"/>
      <c r="AW138" s="72"/>
      <c r="AX138" s="72"/>
      <c r="AY138" s="72"/>
      <c r="AZ138" s="72"/>
      <c r="BA138" s="72"/>
      <c r="BB138" s="72"/>
      <c r="BC138" s="72"/>
      <c r="BD138" s="72"/>
      <c r="BE138" s="72"/>
      <c r="BF138" s="72"/>
      <c r="BG138" s="8"/>
      <c r="BH138" s="72"/>
      <c r="BI138" s="72"/>
      <c r="BJ138" s="72"/>
      <c r="BK138" s="72"/>
      <c r="BL138" s="72"/>
      <c r="BM138" s="72"/>
      <c r="BN138" s="72"/>
    </row>
    <row r="139" spans="1:66" s="108" customFormat="1" ht="16.149999999999999" customHeight="1" x14ac:dyDescent="0.25">
      <c r="A139" s="533">
        <f t="shared" si="14"/>
        <v>134</v>
      </c>
      <c r="B139" s="81">
        <v>2</v>
      </c>
      <c r="C139" s="188">
        <v>128</v>
      </c>
      <c r="D139" s="73" t="s">
        <v>32</v>
      </c>
      <c r="E139" s="73" t="s">
        <v>29</v>
      </c>
      <c r="F139" s="139" t="s">
        <v>456</v>
      </c>
      <c r="G139" s="55" t="s">
        <v>457</v>
      </c>
      <c r="H139" s="55"/>
      <c r="I139" s="132" t="s">
        <v>458</v>
      </c>
      <c r="J139" s="805" t="s">
        <v>459</v>
      </c>
      <c r="K139" s="34" t="s">
        <v>32</v>
      </c>
      <c r="L139" s="34" t="s">
        <v>29</v>
      </c>
      <c r="M139" s="33" t="s">
        <v>32</v>
      </c>
      <c r="N139" s="34"/>
      <c r="O139" s="33"/>
      <c r="P139" s="33"/>
      <c r="Q139" s="37"/>
      <c r="R139" s="35"/>
      <c r="S139" s="35"/>
      <c r="T139" s="35"/>
      <c r="U139" s="35"/>
      <c r="V139" s="37"/>
      <c r="W139" s="311" t="s">
        <v>1278</v>
      </c>
      <c r="X139" s="97"/>
      <c r="Y139" s="70"/>
      <c r="Z139" s="37"/>
      <c r="AA139" s="68"/>
      <c r="AB139" s="210"/>
      <c r="AC139" s="135"/>
      <c r="AD139" s="34"/>
      <c r="AE139" s="34"/>
      <c r="AF139" s="34"/>
      <c r="AG139" s="34"/>
      <c r="AH139" s="34"/>
      <c r="AI139" s="34"/>
      <c r="AJ139" s="34"/>
      <c r="AK139" s="34"/>
      <c r="AL139" s="34"/>
      <c r="AM139" s="127"/>
      <c r="AN139" s="1301">
        <v>87.1</v>
      </c>
      <c r="AO139" s="8"/>
      <c r="AP139" s="38"/>
      <c r="AQ139" s="9"/>
      <c r="AR139" s="9"/>
      <c r="AS139" s="8"/>
      <c r="AT139" s="8"/>
      <c r="AU139" s="8"/>
      <c r="AV139" s="72"/>
      <c r="AW139" s="72"/>
      <c r="AX139" s="72"/>
      <c r="AY139" s="72"/>
      <c r="AZ139" s="72"/>
      <c r="BA139" s="72"/>
      <c r="BB139" s="72"/>
      <c r="BC139" s="72"/>
      <c r="BD139" s="72"/>
      <c r="BE139" s="72"/>
      <c r="BF139" s="72"/>
      <c r="BG139" s="72"/>
      <c r="BH139" s="72"/>
      <c r="BI139" s="72"/>
      <c r="BJ139" s="72"/>
      <c r="BK139" s="72"/>
      <c r="BL139" s="72"/>
      <c r="BM139" s="72"/>
      <c r="BN139" s="72"/>
    </row>
    <row r="140" spans="1:66" s="108" customFormat="1" ht="16.149999999999999" customHeight="1" x14ac:dyDescent="0.25">
      <c r="A140" s="533">
        <f t="shared" si="14"/>
        <v>135</v>
      </c>
      <c r="B140" s="81">
        <v>60</v>
      </c>
      <c r="C140" s="188">
        <v>129</v>
      </c>
      <c r="D140" s="73" t="s">
        <v>32</v>
      </c>
      <c r="E140" s="73" t="s">
        <v>29</v>
      </c>
      <c r="F140" s="139" t="s">
        <v>460</v>
      </c>
      <c r="G140" s="55" t="s">
        <v>461</v>
      </c>
      <c r="H140" s="55"/>
      <c r="I140" s="132" t="s">
        <v>693</v>
      </c>
      <c r="J140" s="793" t="s">
        <v>462</v>
      </c>
      <c r="K140" s="34" t="s">
        <v>32</v>
      </c>
      <c r="L140" s="34" t="s">
        <v>29</v>
      </c>
      <c r="M140" s="33" t="s">
        <v>32</v>
      </c>
      <c r="N140" s="34"/>
      <c r="O140" s="33"/>
      <c r="P140" s="33"/>
      <c r="Q140" s="37"/>
      <c r="R140" s="35"/>
      <c r="S140" s="35"/>
      <c r="T140" s="36"/>
      <c r="U140" s="36"/>
      <c r="V140" s="37"/>
      <c r="W140" s="311" t="s">
        <v>1278</v>
      </c>
      <c r="X140" s="178"/>
      <c r="Y140" s="70"/>
      <c r="Z140" s="37"/>
      <c r="AA140" s="68"/>
      <c r="AB140" s="210"/>
      <c r="AC140" s="135"/>
      <c r="AD140" s="34"/>
      <c r="AE140" s="34"/>
      <c r="AF140" s="34"/>
      <c r="AG140" s="34"/>
      <c r="AH140" s="34"/>
      <c r="AI140" s="34"/>
      <c r="AJ140" s="34"/>
      <c r="AK140" s="34"/>
      <c r="AL140" s="34"/>
      <c r="AM140" s="40"/>
      <c r="AN140" s="1301">
        <v>84.8</v>
      </c>
      <c r="AO140" s="8"/>
      <c r="AP140" s="38"/>
      <c r="AQ140" s="9"/>
      <c r="AR140" s="9"/>
      <c r="AS140" s="8"/>
      <c r="AT140" s="8"/>
      <c r="AU140" s="8"/>
      <c r="AV140" s="72"/>
      <c r="AW140" s="72"/>
      <c r="AX140" s="72"/>
      <c r="AY140" s="72"/>
      <c r="AZ140" s="72"/>
      <c r="BA140" s="72"/>
      <c r="BB140" s="72"/>
      <c r="BC140" s="72"/>
      <c r="BD140" s="72"/>
      <c r="BE140" s="72"/>
      <c r="BF140" s="72"/>
      <c r="BG140" s="72"/>
      <c r="BH140" s="72"/>
      <c r="BI140" s="72"/>
      <c r="BJ140" s="72"/>
      <c r="BK140" s="72"/>
      <c r="BL140" s="72"/>
      <c r="BM140" s="72"/>
      <c r="BN140" s="72"/>
    </row>
    <row r="141" spans="1:66" s="108" customFormat="1" ht="16.149999999999999" customHeight="1" x14ac:dyDescent="0.25">
      <c r="A141" s="533">
        <f t="shared" si="14"/>
        <v>136</v>
      </c>
      <c r="B141" s="81">
        <v>70</v>
      </c>
      <c r="C141" s="188">
        <v>130</v>
      </c>
      <c r="D141" s="73" t="s">
        <v>32</v>
      </c>
      <c r="E141" s="73" t="s">
        <v>29</v>
      </c>
      <c r="F141" s="139" t="s">
        <v>463</v>
      </c>
      <c r="G141" s="55" t="s">
        <v>464</v>
      </c>
      <c r="H141" s="55"/>
      <c r="I141" s="132" t="s">
        <v>465</v>
      </c>
      <c r="J141" s="793" t="s">
        <v>466</v>
      </c>
      <c r="K141" s="34" t="s">
        <v>32</v>
      </c>
      <c r="L141" s="34" t="s">
        <v>29</v>
      </c>
      <c r="M141" s="33" t="s">
        <v>29</v>
      </c>
      <c r="N141" s="34"/>
      <c r="O141" s="33"/>
      <c r="P141" s="33"/>
      <c r="Q141" s="37"/>
      <c r="R141" s="35"/>
      <c r="S141" s="35"/>
      <c r="T141" s="36"/>
      <c r="U141" s="36"/>
      <c r="V141" s="37"/>
      <c r="W141" s="311" t="s">
        <v>1278</v>
      </c>
      <c r="X141" s="178"/>
      <c r="Y141" s="70"/>
      <c r="Z141" s="37"/>
      <c r="AA141" s="68"/>
      <c r="AB141" s="210"/>
      <c r="AC141" s="135"/>
      <c r="AD141" s="34"/>
      <c r="AE141" s="34"/>
      <c r="AF141" s="34"/>
      <c r="AG141" s="34"/>
      <c r="AH141" s="34"/>
      <c r="AI141" s="34"/>
      <c r="AJ141" s="34"/>
      <c r="AK141" s="34"/>
      <c r="AL141" s="34"/>
      <c r="AM141" s="40"/>
      <c r="AN141" s="1301">
        <v>79.7</v>
      </c>
      <c r="AO141" s="8"/>
      <c r="AP141" s="38"/>
      <c r="AQ141" s="9"/>
      <c r="AR141" s="9"/>
      <c r="AS141" s="8"/>
      <c r="AT141" s="8"/>
      <c r="AU141" s="8"/>
      <c r="AV141" s="72"/>
      <c r="AW141" s="72"/>
      <c r="AX141" s="72"/>
      <c r="AY141" s="72"/>
      <c r="AZ141" s="72"/>
      <c r="BA141" s="72"/>
      <c r="BB141" s="72"/>
      <c r="BC141" s="72"/>
      <c r="BD141" s="72"/>
      <c r="BE141" s="72"/>
      <c r="BF141" s="72"/>
      <c r="BG141" s="72"/>
      <c r="BH141" s="72"/>
      <c r="BI141" s="72"/>
      <c r="BJ141" s="72"/>
      <c r="BK141" s="72"/>
      <c r="BL141" s="72"/>
      <c r="BM141" s="72"/>
      <c r="BN141" s="72"/>
    </row>
    <row r="142" spans="1:66" s="108" customFormat="1" ht="16.149999999999999" customHeight="1" x14ac:dyDescent="0.25">
      <c r="A142" s="533">
        <f t="shared" si="14"/>
        <v>137</v>
      </c>
      <c r="B142" s="81">
        <v>179</v>
      </c>
      <c r="C142" s="188">
        <v>131</v>
      </c>
      <c r="D142" s="73" t="s">
        <v>29</v>
      </c>
      <c r="E142" s="73" t="s">
        <v>32</v>
      </c>
      <c r="F142" s="139" t="s">
        <v>467</v>
      </c>
      <c r="G142" s="55" t="s">
        <v>468</v>
      </c>
      <c r="H142" s="55"/>
      <c r="I142" s="132" t="s">
        <v>469</v>
      </c>
      <c r="J142" s="813" t="s">
        <v>717</v>
      </c>
      <c r="K142" s="34" t="s">
        <v>32</v>
      </c>
      <c r="L142" s="34" t="s">
        <v>29</v>
      </c>
      <c r="M142" s="33" t="s">
        <v>29</v>
      </c>
      <c r="N142" s="34"/>
      <c r="O142" s="33"/>
      <c r="P142" s="33"/>
      <c r="Q142" s="37"/>
      <c r="R142" s="35"/>
      <c r="S142" s="35"/>
      <c r="T142" s="36"/>
      <c r="U142" s="36"/>
      <c r="V142" s="37"/>
      <c r="W142" s="311" t="s">
        <v>1278</v>
      </c>
      <c r="X142" s="178"/>
      <c r="Y142" s="70"/>
      <c r="Z142" s="37"/>
      <c r="AA142" s="68"/>
      <c r="AB142" s="210"/>
      <c r="AC142" s="135"/>
      <c r="AD142" s="34"/>
      <c r="AE142" s="34"/>
      <c r="AF142" s="34"/>
      <c r="AG142" s="34"/>
      <c r="AH142" s="34"/>
      <c r="AI142" s="34"/>
      <c r="AJ142" s="34"/>
      <c r="AK142" s="34"/>
      <c r="AL142" s="34"/>
      <c r="AM142" s="40"/>
      <c r="AN142" s="1301" t="s">
        <v>1285</v>
      </c>
      <c r="AO142" s="8"/>
      <c r="AP142" s="38"/>
      <c r="AQ142" s="9"/>
      <c r="AR142" s="9"/>
      <c r="AS142" s="8"/>
      <c r="AT142" s="8"/>
      <c r="AU142" s="8"/>
      <c r="AV142" s="72"/>
      <c r="AW142" s="72"/>
      <c r="AX142" s="72"/>
      <c r="AY142" s="72"/>
      <c r="AZ142" s="72"/>
      <c r="BA142" s="72"/>
      <c r="BB142" s="72"/>
      <c r="BC142" s="72"/>
      <c r="BD142" s="72"/>
      <c r="BE142" s="72"/>
      <c r="BF142" s="72"/>
      <c r="BG142" s="72"/>
      <c r="BH142" s="72"/>
      <c r="BI142" s="72"/>
      <c r="BJ142" s="72"/>
      <c r="BK142" s="72"/>
      <c r="BL142" s="72"/>
      <c r="BM142" s="72"/>
      <c r="BN142" s="72"/>
    </row>
    <row r="143" spans="1:66" s="108" customFormat="1" ht="16.149999999999999" customHeight="1" x14ac:dyDescent="0.25">
      <c r="A143" s="533">
        <f t="shared" si="14"/>
        <v>138</v>
      </c>
      <c r="B143" s="81">
        <v>77</v>
      </c>
      <c r="C143" s="188">
        <v>132</v>
      </c>
      <c r="D143" s="73" t="s">
        <v>29</v>
      </c>
      <c r="E143" s="73" t="s">
        <v>29</v>
      </c>
      <c r="F143" s="139" t="s">
        <v>470</v>
      </c>
      <c r="G143" s="55" t="s">
        <v>470</v>
      </c>
      <c r="H143" s="55"/>
      <c r="I143" s="132" t="s">
        <v>471</v>
      </c>
      <c r="J143" s="812" t="s">
        <v>702</v>
      </c>
      <c r="K143" s="34" t="s">
        <v>32</v>
      </c>
      <c r="L143" s="34" t="s">
        <v>29</v>
      </c>
      <c r="M143" s="33" t="s">
        <v>29</v>
      </c>
      <c r="N143" s="34"/>
      <c r="O143" s="33"/>
      <c r="P143" s="33"/>
      <c r="Q143" s="37"/>
      <c r="R143" s="35"/>
      <c r="S143" s="35"/>
      <c r="T143" s="36"/>
      <c r="U143" s="36"/>
      <c r="V143" s="37"/>
      <c r="W143" s="311" t="s">
        <v>1278</v>
      </c>
      <c r="X143" s="178"/>
      <c r="Y143" s="70"/>
      <c r="Z143" s="37"/>
      <c r="AA143" s="68"/>
      <c r="AB143" s="210"/>
      <c r="AC143" s="135"/>
      <c r="AD143" s="34"/>
      <c r="AE143" s="34"/>
      <c r="AF143" s="34"/>
      <c r="AG143" s="34"/>
      <c r="AH143" s="34"/>
      <c r="AI143" s="34"/>
      <c r="AJ143" s="34"/>
      <c r="AK143" s="34"/>
      <c r="AL143" s="34"/>
      <c r="AM143" s="40"/>
      <c r="AN143" s="1301">
        <v>89.2</v>
      </c>
      <c r="AO143" s="8"/>
      <c r="AP143" s="38"/>
      <c r="AQ143" s="8"/>
      <c r="AR143" s="8"/>
      <c r="AS143" s="8"/>
      <c r="AT143" s="8"/>
      <c r="AU143" s="8"/>
      <c r="AV143" s="72"/>
      <c r="AW143" s="72"/>
      <c r="AX143" s="72"/>
      <c r="AY143" s="72"/>
      <c r="AZ143" s="72"/>
      <c r="BA143" s="72"/>
      <c r="BB143" s="72"/>
      <c r="BC143" s="72"/>
      <c r="BD143" s="72"/>
      <c r="BE143" s="72"/>
      <c r="BF143" s="72"/>
      <c r="BG143" s="72"/>
      <c r="BH143" s="72"/>
      <c r="BI143" s="72"/>
      <c r="BJ143" s="72"/>
      <c r="BK143" s="72"/>
      <c r="BL143" s="72"/>
      <c r="BM143" s="72"/>
      <c r="BN143" s="72"/>
    </row>
    <row r="144" spans="1:66" s="108" customFormat="1" ht="16.149999999999999" customHeight="1" x14ac:dyDescent="0.25">
      <c r="A144" s="533">
        <f t="shared" si="14"/>
        <v>139</v>
      </c>
      <c r="B144" s="81">
        <v>87</v>
      </c>
      <c r="C144" s="188">
        <v>133</v>
      </c>
      <c r="D144" s="73" t="s">
        <v>29</v>
      </c>
      <c r="E144" s="73" t="s">
        <v>29</v>
      </c>
      <c r="F144" s="139" t="s">
        <v>472</v>
      </c>
      <c r="G144" s="55" t="s">
        <v>472</v>
      </c>
      <c r="H144" s="55"/>
      <c r="I144" s="132" t="s">
        <v>694</v>
      </c>
      <c r="J144" s="793" t="s">
        <v>703</v>
      </c>
      <c r="K144" s="34" t="s">
        <v>32</v>
      </c>
      <c r="L144" s="34" t="s">
        <v>29</v>
      </c>
      <c r="M144" s="33" t="s">
        <v>32</v>
      </c>
      <c r="N144" s="34"/>
      <c r="O144" s="33"/>
      <c r="P144" s="33"/>
      <c r="Q144" s="37"/>
      <c r="R144" s="35"/>
      <c r="S144" s="35"/>
      <c r="T144" s="36"/>
      <c r="U144" s="36"/>
      <c r="V144" s="37"/>
      <c r="W144" s="311" t="s">
        <v>1278</v>
      </c>
      <c r="X144" s="178"/>
      <c r="Y144" s="70"/>
      <c r="Z144" s="37"/>
      <c r="AA144" s="68"/>
      <c r="AB144" s="210"/>
      <c r="AC144" s="135"/>
      <c r="AD144" s="34"/>
      <c r="AE144" s="34"/>
      <c r="AF144" s="34"/>
      <c r="AG144" s="34"/>
      <c r="AH144" s="34"/>
      <c r="AI144" s="34"/>
      <c r="AJ144" s="34"/>
      <c r="AK144" s="34"/>
      <c r="AL144" s="34"/>
      <c r="AM144" s="40"/>
      <c r="AN144" s="1301">
        <v>78.7</v>
      </c>
      <c r="AO144" s="8"/>
      <c r="AP144" s="38"/>
      <c r="AQ144" s="8"/>
      <c r="AR144" s="8"/>
      <c r="AS144" s="8"/>
      <c r="AT144" s="8"/>
      <c r="AU144" s="8"/>
      <c r="AV144" s="72"/>
      <c r="AW144" s="72"/>
      <c r="AX144" s="72"/>
      <c r="AY144" s="72"/>
      <c r="AZ144" s="72"/>
      <c r="BA144" s="72"/>
      <c r="BB144" s="72"/>
      <c r="BC144" s="72"/>
      <c r="BD144" s="72"/>
      <c r="BE144" s="72"/>
      <c r="BF144" s="72"/>
      <c r="BG144" s="72"/>
      <c r="BH144" s="72"/>
      <c r="BI144" s="72"/>
      <c r="BJ144" s="72"/>
      <c r="BK144" s="72"/>
      <c r="BL144" s="72"/>
      <c r="BM144" s="72"/>
      <c r="BN144" s="72"/>
    </row>
    <row r="145" spans="1:66" s="108" customFormat="1" ht="16.149999999999999" customHeight="1" x14ac:dyDescent="0.25">
      <c r="A145" s="533">
        <f t="shared" si="14"/>
        <v>140</v>
      </c>
      <c r="B145" s="81">
        <v>88</v>
      </c>
      <c r="C145" s="188">
        <v>134</v>
      </c>
      <c r="D145" s="73" t="s">
        <v>29</v>
      </c>
      <c r="E145" s="73" t="s">
        <v>29</v>
      </c>
      <c r="F145" s="139" t="s">
        <v>473</v>
      </c>
      <c r="G145" s="55" t="s">
        <v>473</v>
      </c>
      <c r="H145" s="55"/>
      <c r="I145" s="132" t="s">
        <v>474</v>
      </c>
      <c r="J145" s="793" t="s">
        <v>704</v>
      </c>
      <c r="K145" s="34" t="s">
        <v>32</v>
      </c>
      <c r="L145" s="34" t="s">
        <v>29</v>
      </c>
      <c r="M145" s="33" t="s">
        <v>29</v>
      </c>
      <c r="N145" s="34"/>
      <c r="O145" s="33"/>
      <c r="P145" s="33"/>
      <c r="Q145" s="37"/>
      <c r="R145" s="35"/>
      <c r="S145" s="35"/>
      <c r="T145" s="36"/>
      <c r="U145" s="36"/>
      <c r="V145" s="37"/>
      <c r="W145" s="311" t="s">
        <v>1278</v>
      </c>
      <c r="X145" s="178"/>
      <c r="Y145" s="70"/>
      <c r="Z145" s="37"/>
      <c r="AA145" s="68"/>
      <c r="AB145" s="210"/>
      <c r="AC145" s="135"/>
      <c r="AD145" s="34"/>
      <c r="AE145" s="34"/>
      <c r="AF145" s="34"/>
      <c r="AG145" s="34"/>
      <c r="AH145" s="34"/>
      <c r="AI145" s="34"/>
      <c r="AJ145" s="34"/>
      <c r="AK145" s="34"/>
      <c r="AL145" s="34"/>
      <c r="AM145" s="40"/>
      <c r="AN145" s="1301">
        <v>86.9</v>
      </c>
      <c r="AO145" s="8"/>
      <c r="AP145" s="38"/>
      <c r="AQ145" s="8"/>
      <c r="AR145" s="8"/>
      <c r="AS145" s="8"/>
      <c r="AT145" s="8"/>
      <c r="AU145" s="8"/>
      <c r="AV145" s="72"/>
      <c r="AW145" s="72"/>
      <c r="AX145" s="72"/>
      <c r="AY145" s="72"/>
      <c r="AZ145" s="72"/>
      <c r="BA145" s="72"/>
      <c r="BB145" s="72"/>
      <c r="BC145" s="72"/>
      <c r="BD145" s="72"/>
      <c r="BE145" s="72"/>
      <c r="BF145" s="72"/>
      <c r="BG145" s="72"/>
      <c r="BH145" s="72"/>
      <c r="BI145" s="72"/>
      <c r="BJ145" s="72"/>
      <c r="BK145" s="72"/>
      <c r="BL145" s="72"/>
      <c r="BM145" s="72"/>
      <c r="BN145" s="72"/>
    </row>
    <row r="146" spans="1:66" s="108" customFormat="1" ht="16.149999999999999" customHeight="1" x14ac:dyDescent="0.25">
      <c r="A146" s="533">
        <f t="shared" si="14"/>
        <v>141</v>
      </c>
      <c r="B146" s="81">
        <v>108</v>
      </c>
      <c r="C146" s="188">
        <v>135</v>
      </c>
      <c r="D146" s="73" t="s">
        <v>29</v>
      </c>
      <c r="E146" s="73" t="s">
        <v>29</v>
      </c>
      <c r="F146" s="139" t="s">
        <v>475</v>
      </c>
      <c r="G146" s="55" t="s">
        <v>475</v>
      </c>
      <c r="H146" s="55"/>
      <c r="I146" s="132" t="s">
        <v>695</v>
      </c>
      <c r="J146" s="793" t="s">
        <v>476</v>
      </c>
      <c r="K146" s="34" t="s">
        <v>32</v>
      </c>
      <c r="L146" s="34" t="s">
        <v>29</v>
      </c>
      <c r="M146" s="33" t="s">
        <v>29</v>
      </c>
      <c r="N146" s="34"/>
      <c r="O146" s="33"/>
      <c r="P146" s="33"/>
      <c r="Q146" s="37"/>
      <c r="R146" s="35"/>
      <c r="S146" s="35"/>
      <c r="T146" s="36"/>
      <c r="U146" s="36"/>
      <c r="V146" s="37"/>
      <c r="W146" s="311" t="s">
        <v>1278</v>
      </c>
      <c r="X146" s="178"/>
      <c r="Y146" s="70"/>
      <c r="Z146" s="37"/>
      <c r="AA146" s="68"/>
      <c r="AB146" s="210"/>
      <c r="AC146" s="135"/>
      <c r="AD146" s="34"/>
      <c r="AE146" s="34"/>
      <c r="AF146" s="34"/>
      <c r="AG146" s="34"/>
      <c r="AH146" s="34"/>
      <c r="AI146" s="34"/>
      <c r="AJ146" s="34"/>
      <c r="AK146" s="34"/>
      <c r="AL146" s="34"/>
      <c r="AM146" s="40"/>
      <c r="AN146" s="1301">
        <v>83.1</v>
      </c>
      <c r="AO146" s="8"/>
      <c r="AP146" s="38"/>
      <c r="AQ146" s="8"/>
      <c r="AR146" s="8"/>
      <c r="AS146" s="8"/>
      <c r="AT146" s="8"/>
      <c r="AU146" s="8"/>
      <c r="AV146" s="72"/>
      <c r="AW146" s="72"/>
      <c r="AX146" s="72"/>
      <c r="AY146" s="72"/>
      <c r="AZ146" s="72"/>
      <c r="BA146" s="72"/>
      <c r="BB146" s="72"/>
      <c r="BC146" s="72"/>
      <c r="BD146" s="72"/>
      <c r="BE146" s="72"/>
      <c r="BF146" s="72"/>
      <c r="BG146" s="72"/>
      <c r="BH146" s="72"/>
      <c r="BI146" s="72"/>
      <c r="BJ146" s="72"/>
      <c r="BK146" s="72"/>
      <c r="BL146" s="72"/>
      <c r="BM146" s="72"/>
      <c r="BN146" s="72"/>
    </row>
    <row r="147" spans="1:66" s="108" customFormat="1" ht="16.149999999999999" customHeight="1" x14ac:dyDescent="0.25">
      <c r="A147" s="533">
        <f t="shared" si="14"/>
        <v>142</v>
      </c>
      <c r="B147" s="81">
        <v>113</v>
      </c>
      <c r="C147" s="188">
        <v>136</v>
      </c>
      <c r="D147" s="73" t="s">
        <v>29</v>
      </c>
      <c r="E147" s="73" t="s">
        <v>29</v>
      </c>
      <c r="F147" s="139" t="s">
        <v>477</v>
      </c>
      <c r="G147" s="55" t="s">
        <v>477</v>
      </c>
      <c r="H147" s="55"/>
      <c r="I147" s="132" t="s">
        <v>696</v>
      </c>
      <c r="J147" s="793" t="s">
        <v>718</v>
      </c>
      <c r="K147" s="34" t="s">
        <v>32</v>
      </c>
      <c r="L147" s="34" t="s">
        <v>29</v>
      </c>
      <c r="M147" s="33" t="s">
        <v>29</v>
      </c>
      <c r="N147" s="34"/>
      <c r="O147" s="33"/>
      <c r="P147" s="33"/>
      <c r="Q147" s="37"/>
      <c r="R147" s="35"/>
      <c r="S147" s="35"/>
      <c r="T147" s="36"/>
      <c r="U147" s="36"/>
      <c r="V147" s="37"/>
      <c r="W147" s="311" t="s">
        <v>1278</v>
      </c>
      <c r="X147" s="178"/>
      <c r="Y147" s="70"/>
      <c r="Z147" s="37"/>
      <c r="AA147" s="68"/>
      <c r="AB147" s="210"/>
      <c r="AC147" s="135"/>
      <c r="AD147" s="34"/>
      <c r="AE147" s="34"/>
      <c r="AF147" s="34"/>
      <c r="AG147" s="34"/>
      <c r="AH147" s="34"/>
      <c r="AI147" s="34"/>
      <c r="AJ147" s="34"/>
      <c r="AK147" s="34"/>
      <c r="AL147" s="34"/>
      <c r="AM147" s="40"/>
      <c r="AN147" s="1301">
        <v>81.3</v>
      </c>
      <c r="AO147" s="8"/>
      <c r="AP147" s="38"/>
      <c r="AQ147" s="8"/>
      <c r="AR147" s="8"/>
      <c r="AS147" s="8"/>
      <c r="AT147" s="8"/>
      <c r="AU147" s="8"/>
      <c r="AV147" s="72"/>
      <c r="AW147" s="72"/>
      <c r="AX147" s="72"/>
      <c r="AY147" s="72"/>
      <c r="AZ147" s="72"/>
      <c r="BA147" s="72"/>
      <c r="BB147" s="72"/>
      <c r="BC147" s="72"/>
      <c r="BD147" s="72"/>
      <c r="BE147" s="72"/>
      <c r="BF147" s="72"/>
      <c r="BG147" s="72"/>
      <c r="BH147" s="72"/>
      <c r="BI147" s="72"/>
      <c r="BJ147" s="72"/>
      <c r="BK147" s="72"/>
      <c r="BL147" s="72"/>
      <c r="BM147" s="72"/>
      <c r="BN147" s="72"/>
    </row>
    <row r="148" spans="1:66" s="108" customFormat="1" ht="16.149999999999999" customHeight="1" x14ac:dyDescent="0.25">
      <c r="A148" s="533">
        <f t="shared" si="14"/>
        <v>143</v>
      </c>
      <c r="B148" s="81">
        <v>118</v>
      </c>
      <c r="C148" s="188">
        <v>137</v>
      </c>
      <c r="D148" s="73" t="s">
        <v>29</v>
      </c>
      <c r="E148" s="73" t="s">
        <v>29</v>
      </c>
      <c r="F148" s="139" t="s">
        <v>478</v>
      </c>
      <c r="G148" s="55" t="s">
        <v>478</v>
      </c>
      <c r="H148" s="55"/>
      <c r="I148" s="132" t="s">
        <v>479</v>
      </c>
      <c r="J148" s="793" t="s">
        <v>480</v>
      </c>
      <c r="K148" s="34" t="s">
        <v>32</v>
      </c>
      <c r="L148" s="34" t="s">
        <v>29</v>
      </c>
      <c r="M148" s="33" t="s">
        <v>29</v>
      </c>
      <c r="N148" s="34"/>
      <c r="O148" s="33"/>
      <c r="P148" s="33"/>
      <c r="Q148" s="37"/>
      <c r="R148" s="35"/>
      <c r="S148" s="35"/>
      <c r="T148" s="36"/>
      <c r="U148" s="36"/>
      <c r="V148" s="37"/>
      <c r="W148" s="311" t="s">
        <v>1278</v>
      </c>
      <c r="X148" s="178"/>
      <c r="Y148" s="70"/>
      <c r="Z148" s="37"/>
      <c r="AA148" s="68"/>
      <c r="AB148" s="210"/>
      <c r="AC148" s="135"/>
      <c r="AD148" s="34"/>
      <c r="AE148" s="34"/>
      <c r="AF148" s="34"/>
      <c r="AG148" s="34"/>
      <c r="AH148" s="34"/>
      <c r="AI148" s="34"/>
      <c r="AJ148" s="34"/>
      <c r="AK148" s="34"/>
      <c r="AL148" s="34"/>
      <c r="AM148" s="40"/>
      <c r="AN148" s="1301">
        <v>84.1</v>
      </c>
      <c r="AO148" s="8"/>
      <c r="AP148" s="38"/>
      <c r="AQ148" s="8"/>
      <c r="AR148" s="8"/>
      <c r="AS148" s="8"/>
      <c r="AT148" s="8"/>
      <c r="AU148" s="8"/>
      <c r="AV148" s="72"/>
      <c r="AW148" s="72"/>
      <c r="AX148" s="72"/>
      <c r="AY148" s="72"/>
      <c r="AZ148" s="72"/>
      <c r="BA148" s="72"/>
      <c r="BB148" s="72"/>
      <c r="BC148" s="72"/>
      <c r="BD148" s="72"/>
      <c r="BE148" s="72"/>
      <c r="BF148" s="72"/>
      <c r="BG148" s="72"/>
      <c r="BH148" s="72"/>
      <c r="BI148" s="72"/>
      <c r="BJ148" s="72"/>
      <c r="BK148" s="72"/>
      <c r="BL148" s="72"/>
      <c r="BM148" s="72"/>
      <c r="BN148" s="72"/>
    </row>
    <row r="149" spans="1:66" s="108" customFormat="1" ht="16.149999999999999" customHeight="1" x14ac:dyDescent="0.25">
      <c r="A149" s="533">
        <f t="shared" si="14"/>
        <v>144</v>
      </c>
      <c r="B149" s="81">
        <v>181</v>
      </c>
      <c r="C149" s="188">
        <v>138</v>
      </c>
      <c r="D149" s="73" t="s">
        <v>29</v>
      </c>
      <c r="E149" s="73" t="s">
        <v>29</v>
      </c>
      <c r="F149" s="139" t="s">
        <v>481</v>
      </c>
      <c r="G149" s="55" t="s">
        <v>481</v>
      </c>
      <c r="H149" s="55"/>
      <c r="I149" s="132" t="s">
        <v>482</v>
      </c>
      <c r="J149" s="793" t="s">
        <v>483</v>
      </c>
      <c r="K149" s="34" t="s">
        <v>32</v>
      </c>
      <c r="L149" s="34" t="s">
        <v>29</v>
      </c>
      <c r="M149" s="33" t="s">
        <v>29</v>
      </c>
      <c r="N149" s="34"/>
      <c r="O149" s="180"/>
      <c r="P149" s="180"/>
      <c r="Q149" s="37"/>
      <c r="R149" s="181"/>
      <c r="S149" s="181"/>
      <c r="T149" s="181"/>
      <c r="U149" s="181"/>
      <c r="V149" s="109"/>
      <c r="W149" s="311" t="s">
        <v>1278</v>
      </c>
      <c r="X149" s="204"/>
      <c r="Y149" s="182"/>
      <c r="Z149" s="181"/>
      <c r="AA149" s="110"/>
      <c r="AB149" s="210"/>
      <c r="AC149" s="209"/>
      <c r="AD149" s="180"/>
      <c r="AE149" s="180"/>
      <c r="AF149" s="34"/>
      <c r="AG149" s="34"/>
      <c r="AH149" s="34"/>
      <c r="AI149" s="34"/>
      <c r="AJ149" s="34"/>
      <c r="AK149" s="34"/>
      <c r="AL149" s="34"/>
      <c r="AM149" s="40"/>
      <c r="AN149" s="1301">
        <v>84.3</v>
      </c>
      <c r="AO149" s="8"/>
      <c r="AP149" s="38"/>
      <c r="AQ149" s="8"/>
      <c r="AR149" s="8"/>
      <c r="AS149" s="8"/>
      <c r="AT149" s="8"/>
      <c r="AU149" s="8"/>
      <c r="AV149" s="72"/>
      <c r="AW149" s="72"/>
      <c r="AX149" s="72"/>
      <c r="AY149" s="72"/>
      <c r="AZ149" s="72"/>
      <c r="BA149" s="72"/>
      <c r="BB149" s="72"/>
      <c r="BC149" s="72"/>
      <c r="BD149" s="72"/>
      <c r="BE149" s="72"/>
      <c r="BF149" s="72"/>
      <c r="BG149" s="72"/>
      <c r="BH149" s="72"/>
      <c r="BI149" s="72"/>
      <c r="BJ149" s="72"/>
      <c r="BK149" s="72"/>
      <c r="BL149" s="72"/>
      <c r="BM149" s="72"/>
      <c r="BN149" s="72"/>
    </row>
    <row r="150" spans="1:66" s="108" customFormat="1" ht="16.149999999999999" customHeight="1" x14ac:dyDescent="0.25">
      <c r="A150" s="533">
        <f t="shared" si="14"/>
        <v>145</v>
      </c>
      <c r="B150" s="81">
        <v>99</v>
      </c>
      <c r="C150" s="188">
        <v>139</v>
      </c>
      <c r="D150" s="73"/>
      <c r="E150" s="73" t="s">
        <v>29</v>
      </c>
      <c r="F150" s="139" t="s">
        <v>484</v>
      </c>
      <c r="G150" s="55" t="s">
        <v>484</v>
      </c>
      <c r="H150" s="55"/>
      <c r="I150" s="132" t="s">
        <v>697</v>
      </c>
      <c r="J150" s="793" t="s">
        <v>485</v>
      </c>
      <c r="K150" s="34" t="s">
        <v>32</v>
      </c>
      <c r="L150" s="34" t="s">
        <v>29</v>
      </c>
      <c r="M150" s="33"/>
      <c r="N150" s="34"/>
      <c r="O150" s="33"/>
      <c r="P150" s="33"/>
      <c r="Q150" s="37"/>
      <c r="R150" s="35"/>
      <c r="S150" s="35"/>
      <c r="T150" s="36"/>
      <c r="U150" s="36"/>
      <c r="V150" s="37"/>
      <c r="W150" s="311" t="s">
        <v>1278</v>
      </c>
      <c r="X150" s="178"/>
      <c r="Y150" s="70"/>
      <c r="Z150" s="37"/>
      <c r="AA150" s="68"/>
      <c r="AB150" s="210"/>
      <c r="AC150" s="135"/>
      <c r="AD150" s="34"/>
      <c r="AE150" s="34"/>
      <c r="AF150" s="34"/>
      <c r="AG150" s="34"/>
      <c r="AH150" s="34"/>
      <c r="AI150" s="34"/>
      <c r="AJ150" s="34"/>
      <c r="AK150" s="34"/>
      <c r="AL150" s="34"/>
      <c r="AM150" s="40"/>
      <c r="AN150" s="1301" t="s">
        <v>1285</v>
      </c>
      <c r="AO150" s="8"/>
      <c r="AP150" s="38"/>
      <c r="AQ150" s="8"/>
      <c r="AR150" s="8"/>
      <c r="AS150" s="8"/>
      <c r="AT150" s="8"/>
      <c r="AU150" s="8"/>
      <c r="AV150" s="72"/>
      <c r="AW150" s="72"/>
      <c r="AX150" s="72"/>
      <c r="AY150" s="72"/>
      <c r="AZ150" s="72"/>
      <c r="BA150" s="72"/>
      <c r="BB150" s="72"/>
      <c r="BC150" s="72"/>
      <c r="BD150" s="72"/>
      <c r="BE150" s="72"/>
      <c r="BF150" s="72"/>
      <c r="BG150" s="72"/>
      <c r="BH150" s="72"/>
      <c r="BI150" s="72"/>
      <c r="BJ150" s="72"/>
      <c r="BK150" s="72"/>
      <c r="BL150" s="72"/>
      <c r="BM150" s="72"/>
      <c r="BN150" s="72"/>
    </row>
    <row r="151" spans="1:66" s="108" customFormat="1" ht="16.149999999999999" customHeight="1" x14ac:dyDescent="0.25">
      <c r="A151" s="533">
        <f t="shared" si="14"/>
        <v>146</v>
      </c>
      <c r="B151" s="81">
        <v>106</v>
      </c>
      <c r="C151" s="188">
        <v>140</v>
      </c>
      <c r="D151" s="73"/>
      <c r="E151" s="73" t="s">
        <v>29</v>
      </c>
      <c r="F151" s="139" t="s">
        <v>486</v>
      </c>
      <c r="G151" s="55" t="s">
        <v>486</v>
      </c>
      <c r="H151" s="55"/>
      <c r="I151" s="132" t="s">
        <v>698</v>
      </c>
      <c r="J151" s="793" t="s">
        <v>487</v>
      </c>
      <c r="K151" s="34" t="s">
        <v>32</v>
      </c>
      <c r="L151" s="34" t="s">
        <v>29</v>
      </c>
      <c r="M151" s="33"/>
      <c r="N151" s="34"/>
      <c r="O151" s="33"/>
      <c r="P151" s="33"/>
      <c r="Q151" s="37"/>
      <c r="R151" s="35"/>
      <c r="S151" s="35"/>
      <c r="T151" s="36"/>
      <c r="U151" s="36"/>
      <c r="V151" s="37"/>
      <c r="W151" s="311" t="s">
        <v>1278</v>
      </c>
      <c r="X151" s="178"/>
      <c r="Y151" s="70"/>
      <c r="Z151" s="37"/>
      <c r="AA151" s="68"/>
      <c r="AB151" s="210"/>
      <c r="AC151" s="135"/>
      <c r="AD151" s="34"/>
      <c r="AE151" s="34"/>
      <c r="AF151" s="34"/>
      <c r="AG151" s="34"/>
      <c r="AH151" s="34"/>
      <c r="AI151" s="34"/>
      <c r="AJ151" s="34"/>
      <c r="AK151" s="34"/>
      <c r="AL151" s="34"/>
      <c r="AM151" s="40"/>
      <c r="AN151" s="1301">
        <v>83.8</v>
      </c>
      <c r="AO151" s="8"/>
      <c r="AP151" s="38"/>
      <c r="AQ151" s="8"/>
      <c r="AR151" s="8"/>
      <c r="AS151" s="8"/>
      <c r="AT151" s="8"/>
      <c r="AU151" s="8"/>
      <c r="AV151" s="72"/>
      <c r="AW151" s="72"/>
      <c r="AX151" s="72"/>
      <c r="AY151" s="72"/>
      <c r="AZ151" s="72"/>
      <c r="BA151" s="72"/>
      <c r="BB151" s="72"/>
      <c r="BC151" s="72"/>
      <c r="BD151" s="72"/>
      <c r="BE151" s="72"/>
      <c r="BF151" s="72"/>
      <c r="BG151" s="72"/>
      <c r="BH151" s="72"/>
      <c r="BI151" s="72"/>
      <c r="BJ151" s="72"/>
      <c r="BK151" s="72"/>
      <c r="BL151" s="72"/>
      <c r="BM151" s="72"/>
      <c r="BN151" s="72"/>
    </row>
    <row r="152" spans="1:66" s="108" customFormat="1" ht="16.149999999999999" customHeight="1" x14ac:dyDescent="0.25">
      <c r="A152" s="533">
        <f t="shared" si="14"/>
        <v>147</v>
      </c>
      <c r="B152" s="81">
        <v>38</v>
      </c>
      <c r="C152" s="188">
        <v>141</v>
      </c>
      <c r="D152" s="73"/>
      <c r="E152" s="73" t="s">
        <v>29</v>
      </c>
      <c r="F152" s="139" t="s">
        <v>488</v>
      </c>
      <c r="G152" s="55" t="s">
        <v>488</v>
      </c>
      <c r="H152" s="55"/>
      <c r="I152" s="132" t="s">
        <v>699</v>
      </c>
      <c r="J152" s="793" t="s">
        <v>489</v>
      </c>
      <c r="K152" s="34" t="s">
        <v>32</v>
      </c>
      <c r="L152" s="34" t="s">
        <v>29</v>
      </c>
      <c r="M152" s="33"/>
      <c r="N152" s="34"/>
      <c r="O152" s="33"/>
      <c r="P152" s="33"/>
      <c r="Q152" s="37"/>
      <c r="R152" s="35"/>
      <c r="S152" s="35"/>
      <c r="T152" s="36"/>
      <c r="U152" s="36"/>
      <c r="V152" s="37"/>
      <c r="W152" s="311" t="s">
        <v>1278</v>
      </c>
      <c r="X152" s="178"/>
      <c r="Y152" s="70"/>
      <c r="Z152" s="37"/>
      <c r="AA152" s="68"/>
      <c r="AB152" s="210"/>
      <c r="AC152" s="135"/>
      <c r="AD152" s="34"/>
      <c r="AE152" s="34"/>
      <c r="AF152" s="34"/>
      <c r="AG152" s="34"/>
      <c r="AH152" s="34"/>
      <c r="AI152" s="34"/>
      <c r="AJ152" s="34"/>
      <c r="AK152" s="34"/>
      <c r="AL152" s="34"/>
      <c r="AM152" s="40"/>
      <c r="AN152" s="1301">
        <v>73.099999999999994</v>
      </c>
      <c r="AO152" s="8"/>
      <c r="AP152" s="38"/>
      <c r="AQ152" s="8"/>
      <c r="AR152" s="8"/>
      <c r="AS152" s="8"/>
      <c r="AT152" s="8"/>
      <c r="AU152" s="8"/>
      <c r="AV152" s="72"/>
      <c r="AW152" s="72"/>
      <c r="AX152" s="72"/>
      <c r="AY152" s="72"/>
      <c r="AZ152" s="72"/>
      <c r="BA152" s="72"/>
      <c r="BB152" s="72"/>
      <c r="BC152" s="72"/>
      <c r="BD152" s="72"/>
      <c r="BE152" s="72"/>
      <c r="BF152" s="72"/>
      <c r="BG152" s="72"/>
      <c r="BH152" s="72"/>
      <c r="BI152" s="72"/>
      <c r="BJ152" s="72"/>
      <c r="BK152" s="72"/>
      <c r="BL152" s="72"/>
      <c r="BM152" s="72"/>
      <c r="BN152" s="72"/>
    </row>
    <row r="153" spans="1:66" s="108" customFormat="1" ht="16.149999999999999" customHeight="1" x14ac:dyDescent="0.25">
      <c r="A153" s="533">
        <f t="shared" si="14"/>
        <v>148</v>
      </c>
      <c r="B153" s="81">
        <v>98</v>
      </c>
      <c r="C153" s="188">
        <v>142</v>
      </c>
      <c r="D153" s="73"/>
      <c r="E153" s="73"/>
      <c r="F153" s="139" t="s">
        <v>490</v>
      </c>
      <c r="G153" s="55" t="s">
        <v>490</v>
      </c>
      <c r="H153" s="55"/>
      <c r="I153" s="132" t="s">
        <v>491</v>
      </c>
      <c r="J153" s="793" t="s">
        <v>29</v>
      </c>
      <c r="K153" s="34" t="s">
        <v>32</v>
      </c>
      <c r="L153" s="34"/>
      <c r="M153" s="33"/>
      <c r="N153" s="34"/>
      <c r="O153" s="33"/>
      <c r="P153" s="33"/>
      <c r="Q153" s="37"/>
      <c r="R153" s="35"/>
      <c r="S153" s="35"/>
      <c r="T153" s="36"/>
      <c r="U153" s="36"/>
      <c r="V153" s="37"/>
      <c r="W153" s="311" t="s">
        <v>1278</v>
      </c>
      <c r="X153" s="178"/>
      <c r="Y153" s="70"/>
      <c r="Z153" s="37"/>
      <c r="AA153" s="68"/>
      <c r="AB153" s="210"/>
      <c r="AC153" s="135"/>
      <c r="AD153" s="34"/>
      <c r="AE153" s="34"/>
      <c r="AF153" s="34"/>
      <c r="AG153" s="34"/>
      <c r="AH153" s="34"/>
      <c r="AI153" s="34"/>
      <c r="AJ153" s="34"/>
      <c r="AK153" s="34"/>
      <c r="AL153" s="34"/>
      <c r="AM153" s="40"/>
      <c r="AN153" s="1301" t="s">
        <v>1285</v>
      </c>
      <c r="AO153" s="8"/>
      <c r="AP153" s="38"/>
      <c r="AQ153" s="8"/>
      <c r="AR153" s="8"/>
      <c r="AS153" s="8"/>
      <c r="AT153" s="8"/>
      <c r="AU153" s="8"/>
      <c r="AV153" s="72"/>
      <c r="AW153" s="72"/>
      <c r="AX153" s="72"/>
      <c r="AY153" s="72"/>
      <c r="AZ153" s="72"/>
      <c r="BA153" s="72"/>
      <c r="BB153" s="72"/>
      <c r="BC153" s="72"/>
      <c r="BD153" s="72"/>
      <c r="BE153" s="72"/>
      <c r="BF153" s="72"/>
      <c r="BG153" s="72"/>
      <c r="BH153" s="72"/>
      <c r="BI153" s="72"/>
      <c r="BJ153" s="72"/>
      <c r="BK153" s="72"/>
      <c r="BL153" s="72"/>
      <c r="BM153" s="72"/>
      <c r="BN153" s="72"/>
    </row>
    <row r="154" spans="1:66" s="108" customFormat="1" ht="16.149999999999999" customHeight="1" x14ac:dyDescent="0.25">
      <c r="A154" s="533">
        <f t="shared" si="14"/>
        <v>149</v>
      </c>
      <c r="B154" s="81">
        <v>105</v>
      </c>
      <c r="C154" s="188">
        <v>143</v>
      </c>
      <c r="D154" s="23"/>
      <c r="E154" s="23" t="s">
        <v>29</v>
      </c>
      <c r="F154" s="139" t="s">
        <v>47</v>
      </c>
      <c r="G154" s="127" t="s">
        <v>48</v>
      </c>
      <c r="H154" s="127"/>
      <c r="I154" s="132" t="s">
        <v>49</v>
      </c>
      <c r="J154" s="793" t="s">
        <v>50</v>
      </c>
      <c r="K154" s="34" t="s">
        <v>32</v>
      </c>
      <c r="L154" s="34"/>
      <c r="M154" s="33"/>
      <c r="N154" s="34"/>
      <c r="O154" s="33"/>
      <c r="P154" s="33"/>
      <c r="Q154" s="37"/>
      <c r="R154" s="35"/>
      <c r="S154" s="35"/>
      <c r="T154" s="36"/>
      <c r="U154" s="36"/>
      <c r="V154" s="183"/>
      <c r="W154" s="311" t="s">
        <v>1278</v>
      </c>
      <c r="X154" s="178"/>
      <c r="Y154" s="202"/>
      <c r="Z154" s="37"/>
      <c r="AA154" s="68"/>
      <c r="AB154" s="210"/>
      <c r="AC154" s="135"/>
      <c r="AD154" s="34"/>
      <c r="AE154" s="34"/>
      <c r="AF154" s="34"/>
      <c r="AG154" s="34"/>
      <c r="AH154" s="34"/>
      <c r="AI154" s="34"/>
      <c r="AJ154" s="34"/>
      <c r="AK154" s="34"/>
      <c r="AL154" s="34"/>
      <c r="AM154" s="40"/>
      <c r="AN154" s="1301">
        <v>89.7</v>
      </c>
      <c r="AO154" s="8"/>
      <c r="AP154" s="38"/>
      <c r="AQ154" s="8"/>
      <c r="AR154" s="8"/>
      <c r="AS154" s="8"/>
      <c r="AT154" s="8"/>
      <c r="AU154" s="8"/>
      <c r="AV154" s="72"/>
      <c r="AW154" s="72"/>
      <c r="AX154" s="72"/>
      <c r="AY154" s="72"/>
      <c r="AZ154" s="72"/>
      <c r="BA154" s="72"/>
      <c r="BB154" s="72"/>
      <c r="BC154" s="72"/>
      <c r="BD154" s="72"/>
      <c r="BE154" s="72"/>
      <c r="BF154" s="72"/>
      <c r="BG154" s="72"/>
      <c r="BH154" s="72"/>
      <c r="BI154" s="72"/>
      <c r="BJ154" s="72"/>
      <c r="BK154" s="72"/>
      <c r="BL154" s="72"/>
      <c r="BM154" s="72"/>
      <c r="BN154" s="72"/>
    </row>
    <row r="155" spans="1:66" s="108" customFormat="1" ht="16.149999999999999" customHeight="1" x14ac:dyDescent="0.25">
      <c r="A155" s="533">
        <f t="shared" si="14"/>
        <v>150</v>
      </c>
      <c r="B155" s="81">
        <v>79</v>
      </c>
      <c r="C155" s="188">
        <f>C154+1</f>
        <v>144</v>
      </c>
      <c r="D155" s="23"/>
      <c r="E155" s="23"/>
      <c r="F155" s="190" t="s">
        <v>723</v>
      </c>
      <c r="G155" s="165" t="s">
        <v>507</v>
      </c>
      <c r="H155" s="165"/>
      <c r="I155" s="232" t="s">
        <v>29</v>
      </c>
      <c r="J155" s="793"/>
      <c r="K155" s="34" t="s">
        <v>32</v>
      </c>
      <c r="L155" s="34"/>
      <c r="M155" s="33"/>
      <c r="N155" s="34"/>
      <c r="O155" s="33"/>
      <c r="P155" s="33"/>
      <c r="Q155" s="37"/>
      <c r="R155" s="35"/>
      <c r="S155" s="35"/>
      <c r="T155" s="36"/>
      <c r="U155" s="36"/>
      <c r="V155" s="183"/>
      <c r="W155" s="311" t="s">
        <v>1278</v>
      </c>
      <c r="X155" s="178"/>
      <c r="Y155" s="202"/>
      <c r="Z155" s="37"/>
      <c r="AA155" s="68"/>
      <c r="AB155" s="210"/>
      <c r="AC155" s="135"/>
      <c r="AD155" s="34"/>
      <c r="AE155" s="34"/>
      <c r="AF155" s="34"/>
      <c r="AG155" s="34"/>
      <c r="AH155" s="34"/>
      <c r="AI155" s="34"/>
      <c r="AJ155" s="34"/>
      <c r="AK155" s="34"/>
      <c r="AL155" s="34"/>
      <c r="AM155" s="40"/>
      <c r="AN155" s="1301" t="s">
        <v>1285</v>
      </c>
      <c r="AO155" s="8"/>
      <c r="AP155" s="38"/>
      <c r="AQ155" s="8"/>
      <c r="AR155" s="8"/>
      <c r="AS155" s="8"/>
      <c r="AT155" s="8"/>
      <c r="AU155" s="8"/>
      <c r="AV155" s="72"/>
      <c r="AW155" s="72"/>
      <c r="AX155" s="72"/>
      <c r="AY155" s="72"/>
      <c r="AZ155" s="72"/>
      <c r="BA155" s="72"/>
      <c r="BB155" s="72"/>
      <c r="BC155" s="72"/>
      <c r="BD155" s="72"/>
      <c r="BE155" s="72"/>
      <c r="BF155" s="72"/>
      <c r="BG155" s="72"/>
      <c r="BH155" s="72"/>
      <c r="BI155" s="72"/>
      <c r="BJ155" s="72"/>
      <c r="BK155" s="72"/>
      <c r="BL155" s="72"/>
      <c r="BM155" s="72"/>
      <c r="BN155" s="72"/>
    </row>
    <row r="156" spans="1:66" s="108" customFormat="1" ht="16.149999999999999" customHeight="1" x14ac:dyDescent="0.25">
      <c r="A156" s="533">
        <f t="shared" si="14"/>
        <v>151</v>
      </c>
      <c r="B156" s="81">
        <v>66</v>
      </c>
      <c r="C156" s="188">
        <v>144</v>
      </c>
      <c r="D156" s="73"/>
      <c r="E156" s="73"/>
      <c r="F156" s="139" t="s">
        <v>492</v>
      </c>
      <c r="G156" s="55" t="s">
        <v>492</v>
      </c>
      <c r="H156" s="55"/>
      <c r="I156" s="132" t="s">
        <v>493</v>
      </c>
      <c r="J156" s="813" t="s">
        <v>705</v>
      </c>
      <c r="K156" s="34" t="s">
        <v>32</v>
      </c>
      <c r="L156" s="34"/>
      <c r="M156" s="33"/>
      <c r="N156" s="34"/>
      <c r="O156" s="33"/>
      <c r="P156" s="33"/>
      <c r="Q156" s="37"/>
      <c r="R156" s="35"/>
      <c r="S156" s="35"/>
      <c r="T156" s="36"/>
      <c r="U156" s="36"/>
      <c r="V156" s="37"/>
      <c r="W156" s="311" t="s">
        <v>1278</v>
      </c>
      <c r="X156" s="178"/>
      <c r="Y156" s="70"/>
      <c r="Z156" s="37"/>
      <c r="AA156" s="68"/>
      <c r="AB156" s="210"/>
      <c r="AC156" s="135"/>
      <c r="AD156" s="34"/>
      <c r="AE156" s="34"/>
      <c r="AF156" s="34"/>
      <c r="AG156" s="34"/>
      <c r="AH156" s="34"/>
      <c r="AI156" s="34"/>
      <c r="AJ156" s="34"/>
      <c r="AK156" s="34"/>
      <c r="AL156" s="34"/>
      <c r="AM156" s="40"/>
      <c r="AN156" s="1301" t="s">
        <v>1285</v>
      </c>
      <c r="AO156" s="8"/>
      <c r="AP156" s="38"/>
      <c r="AQ156" s="8"/>
      <c r="AR156" s="8"/>
      <c r="AS156" s="8"/>
      <c r="AT156" s="8"/>
      <c r="AU156" s="8"/>
      <c r="AV156" s="72"/>
      <c r="AW156" s="72"/>
      <c r="AX156" s="72"/>
      <c r="AY156" s="72"/>
      <c r="AZ156" s="72"/>
      <c r="BA156" s="72"/>
      <c r="BB156" s="72"/>
      <c r="BC156" s="72"/>
      <c r="BD156" s="72"/>
      <c r="BE156" s="72"/>
      <c r="BF156" s="72"/>
      <c r="BG156" s="72"/>
      <c r="BH156" s="72"/>
      <c r="BI156" s="72"/>
      <c r="BJ156" s="72"/>
      <c r="BK156" s="72"/>
      <c r="BL156" s="72"/>
      <c r="BM156" s="72"/>
      <c r="BN156" s="72"/>
    </row>
    <row r="157" spans="1:66" s="108" customFormat="1" ht="16.149999999999999" customHeight="1" x14ac:dyDescent="0.25">
      <c r="A157" s="533">
        <f t="shared" si="14"/>
        <v>152</v>
      </c>
      <c r="B157" s="81">
        <v>27</v>
      </c>
      <c r="C157" s="188">
        <v>145</v>
      </c>
      <c r="D157" s="73" t="s">
        <v>29</v>
      </c>
      <c r="E157" s="73" t="s">
        <v>29</v>
      </c>
      <c r="F157" s="139" t="s">
        <v>494</v>
      </c>
      <c r="G157" s="165" t="s">
        <v>494</v>
      </c>
      <c r="H157" s="165"/>
      <c r="I157" s="132" t="s">
        <v>700</v>
      </c>
      <c r="J157" s="806" t="s">
        <v>495</v>
      </c>
      <c r="K157" s="34" t="s">
        <v>32</v>
      </c>
      <c r="L157" s="34" t="s">
        <v>29</v>
      </c>
      <c r="M157" s="33" t="s">
        <v>29</v>
      </c>
      <c r="N157" s="34"/>
      <c r="O157" s="33"/>
      <c r="P157" s="33"/>
      <c r="Q157" s="37"/>
      <c r="R157" s="35"/>
      <c r="S157" s="35"/>
      <c r="T157" s="36"/>
      <c r="U157" s="36"/>
      <c r="V157" s="37"/>
      <c r="W157" s="311" t="s">
        <v>1278</v>
      </c>
      <c r="X157" s="90"/>
      <c r="Y157" s="70"/>
      <c r="Z157" s="37"/>
      <c r="AA157" s="68"/>
      <c r="AB157" s="210"/>
      <c r="AC157" s="135"/>
      <c r="AD157" s="34"/>
      <c r="AE157" s="34"/>
      <c r="AF157" s="34"/>
      <c r="AG157" s="34"/>
      <c r="AH157" s="34"/>
      <c r="AI157" s="34"/>
      <c r="AJ157" s="34"/>
      <c r="AK157" s="34"/>
      <c r="AL157" s="34"/>
      <c r="AM157" s="40"/>
      <c r="AN157" s="1301">
        <v>89.8</v>
      </c>
      <c r="AO157" s="8"/>
      <c r="AP157" s="38"/>
      <c r="AQ157" s="8"/>
      <c r="AR157" s="8"/>
      <c r="AS157" s="8"/>
      <c r="AT157" s="8"/>
      <c r="AU157" s="8"/>
      <c r="AV157" s="72"/>
      <c r="AW157" s="72"/>
      <c r="AX157" s="72"/>
      <c r="AY157" s="72"/>
      <c r="AZ157" s="72"/>
      <c r="BA157" s="72"/>
      <c r="BB157" s="72"/>
      <c r="BC157" s="72"/>
      <c r="BD157" s="72"/>
      <c r="BE157" s="72"/>
      <c r="BF157" s="72"/>
      <c r="BG157" s="72"/>
      <c r="BH157" s="72"/>
      <c r="BI157" s="72"/>
      <c r="BJ157" s="72"/>
      <c r="BK157" s="72"/>
      <c r="BL157" s="72"/>
      <c r="BM157" s="72"/>
      <c r="BN157" s="72"/>
    </row>
    <row r="158" spans="1:66" ht="16.149999999999999" customHeight="1" x14ac:dyDescent="0.25">
      <c r="A158" s="533">
        <f t="shared" si="14"/>
        <v>153</v>
      </c>
      <c r="B158" s="185"/>
      <c r="C158" s="184" t="s">
        <v>749</v>
      </c>
      <c r="D158" s="161"/>
      <c r="E158" s="161"/>
      <c r="F158" s="137"/>
      <c r="G158" s="162"/>
      <c r="H158" s="162"/>
      <c r="I158" s="163"/>
      <c r="J158" s="149"/>
      <c r="K158" s="27"/>
      <c r="L158" s="27"/>
      <c r="M158" s="28"/>
      <c r="N158" s="27"/>
      <c r="O158" s="28"/>
      <c r="P158" s="28"/>
      <c r="Q158" s="29"/>
      <c r="R158" s="30"/>
      <c r="S158" s="30"/>
      <c r="T158" s="31"/>
      <c r="U158" s="31"/>
      <c r="V158" s="29"/>
      <c r="W158" s="239"/>
      <c r="X158" s="194"/>
      <c r="Y158" s="29"/>
      <c r="Z158" s="29"/>
      <c r="AA158" s="29"/>
      <c r="AB158" s="212"/>
      <c r="AC158" s="29"/>
      <c r="AD158" s="29"/>
      <c r="AE158" s="29"/>
      <c r="AF158" s="29"/>
      <c r="AG158" s="29"/>
      <c r="AH158" s="29"/>
      <c r="AI158" s="29"/>
      <c r="AJ158" s="29"/>
      <c r="AK158" s="29"/>
      <c r="AL158" s="71"/>
      <c r="AM158" s="234">
        <f>COUNT(C139:C157)</f>
        <v>19</v>
      </c>
      <c r="AN158" s="1209"/>
      <c r="AO158" s="8"/>
      <c r="AP158" s="38"/>
      <c r="AQ158" s="8"/>
      <c r="AR158" s="8"/>
      <c r="AS158" s="8"/>
      <c r="AT158" s="8"/>
      <c r="AU158" s="8"/>
    </row>
    <row r="159" spans="1:66" s="72" customFormat="1" ht="16.149999999999999" customHeight="1" x14ac:dyDescent="0.25">
      <c r="A159" s="533">
        <f t="shared" si="14"/>
        <v>154</v>
      </c>
      <c r="B159" s="81">
        <v>123</v>
      </c>
      <c r="C159" s="189">
        <v>146</v>
      </c>
      <c r="D159" s="73" t="s">
        <v>29</v>
      </c>
      <c r="E159" s="73" t="s">
        <v>29</v>
      </c>
      <c r="F159" s="1164" t="s">
        <v>496</v>
      </c>
      <c r="G159" s="103" t="s">
        <v>497</v>
      </c>
      <c r="H159" s="103"/>
      <c r="I159" s="146" t="s">
        <v>701</v>
      </c>
      <c r="J159" s="805" t="s">
        <v>498</v>
      </c>
      <c r="K159" s="831" t="s">
        <v>29</v>
      </c>
      <c r="L159" s="150"/>
      <c r="M159" s="1218"/>
      <c r="N159" s="150"/>
      <c r="O159" s="1219"/>
      <c r="P159" s="1219"/>
      <c r="Q159" s="102"/>
      <c r="R159" s="1220"/>
      <c r="S159" s="1220"/>
      <c r="T159" s="1220"/>
      <c r="U159" s="1220"/>
      <c r="V159" s="126"/>
      <c r="W159" s="1290" t="s">
        <v>1279</v>
      </c>
      <c r="X159" s="126"/>
      <c r="Y159" s="1220"/>
      <c r="Z159" s="1220"/>
      <c r="AA159" s="1220"/>
      <c r="AB159" s="127"/>
      <c r="AC159" s="1221"/>
      <c r="AD159" s="1220"/>
      <c r="AE159" s="1220"/>
      <c r="AF159" s="1220"/>
      <c r="AG159" s="1220"/>
      <c r="AH159" s="1220"/>
      <c r="AI159" s="1220"/>
      <c r="AJ159" s="1220"/>
      <c r="AK159" s="1220"/>
      <c r="AL159" s="1220"/>
      <c r="AM159" s="1286"/>
      <c r="AN159" s="1301">
        <v>94</v>
      </c>
      <c r="AP159" s="118"/>
      <c r="AQ159" s="8"/>
      <c r="AR159" s="8"/>
      <c r="AS159" s="8"/>
      <c r="AT159" s="8"/>
      <c r="AU159" s="8"/>
    </row>
    <row r="160" spans="1:66" ht="16.149999999999999" customHeight="1" x14ac:dyDescent="0.25">
      <c r="A160" s="533">
        <f t="shared" si="14"/>
        <v>155</v>
      </c>
      <c r="B160" s="81">
        <v>32</v>
      </c>
      <c r="C160" s="189">
        <v>147</v>
      </c>
      <c r="D160" s="73" t="s">
        <v>29</v>
      </c>
      <c r="E160" s="73"/>
      <c r="F160" s="1165" t="s">
        <v>499</v>
      </c>
      <c r="G160" s="164" t="s">
        <v>500</v>
      </c>
      <c r="H160" s="164"/>
      <c r="I160" s="132" t="s">
        <v>501</v>
      </c>
      <c r="J160" s="793" t="s">
        <v>502</v>
      </c>
      <c r="K160" s="150" t="s">
        <v>29</v>
      </c>
      <c r="L160" s="166"/>
      <c r="M160" s="1222"/>
      <c r="N160" s="166"/>
      <c r="O160" s="1222"/>
      <c r="P160" s="1222"/>
      <c r="Q160" s="40"/>
      <c r="R160" s="931"/>
      <c r="S160" s="931"/>
      <c r="T160" s="1223"/>
      <c r="U160" s="1223"/>
      <c r="V160" s="40"/>
      <c r="W160" s="1291" t="s">
        <v>1279</v>
      </c>
      <c r="X160" s="40"/>
      <c r="Y160" s="40"/>
      <c r="Z160" s="40"/>
      <c r="AA160" s="40"/>
      <c r="AB160" s="1220"/>
      <c r="AC160" s="40"/>
      <c r="AD160" s="40"/>
      <c r="AE160" s="40"/>
      <c r="AF160" s="40"/>
      <c r="AG160" s="40"/>
      <c r="AH160" s="40"/>
      <c r="AI160" s="40"/>
      <c r="AJ160" s="40"/>
      <c r="AK160" s="40"/>
      <c r="AL160" s="40"/>
      <c r="AM160" s="1235"/>
      <c r="AN160" s="1301">
        <v>93.4</v>
      </c>
      <c r="AO160" s="44"/>
      <c r="AP160" s="221"/>
      <c r="AQ160" s="8"/>
      <c r="AR160" s="8"/>
      <c r="AS160" s="8"/>
      <c r="AT160" s="8"/>
      <c r="AU160" s="8"/>
    </row>
    <row r="161" spans="1:66" ht="16.149999999999999" customHeight="1" x14ac:dyDescent="0.25">
      <c r="A161" s="533">
        <f t="shared" si="14"/>
        <v>156</v>
      </c>
      <c r="B161" s="81">
        <v>163</v>
      </c>
      <c r="C161" s="189">
        <v>148</v>
      </c>
      <c r="D161" s="73" t="s">
        <v>32</v>
      </c>
      <c r="E161" s="73" t="s">
        <v>29</v>
      </c>
      <c r="F161" s="1165" t="s">
        <v>450</v>
      </c>
      <c r="G161" s="55" t="s">
        <v>451</v>
      </c>
      <c r="H161" s="55"/>
      <c r="I161" s="132" t="s">
        <v>691</v>
      </c>
      <c r="J161" s="814" t="s">
        <v>452</v>
      </c>
      <c r="K161" s="150" t="s">
        <v>29</v>
      </c>
      <c r="L161" s="166"/>
      <c r="M161" s="1222"/>
      <c r="N161" s="166"/>
      <c r="O161" s="1222"/>
      <c r="P161" s="1222"/>
      <c r="Q161" s="40"/>
      <c r="R161" s="931"/>
      <c r="S161" s="931"/>
      <c r="T161" s="1223"/>
      <c r="U161" s="1223"/>
      <c r="V161" s="40"/>
      <c r="W161" s="1291" t="s">
        <v>1279</v>
      </c>
      <c r="X161" s="40"/>
      <c r="Y161" s="40"/>
      <c r="Z161" s="40"/>
      <c r="AA161" s="40"/>
      <c r="AB161" s="1220"/>
      <c r="AC161" s="40"/>
      <c r="AD161" s="40"/>
      <c r="AE161" s="40"/>
      <c r="AF161" s="40"/>
      <c r="AG161" s="40"/>
      <c r="AH161" s="40"/>
      <c r="AI161" s="40"/>
      <c r="AJ161" s="40"/>
      <c r="AK161" s="40"/>
      <c r="AL161" s="1224"/>
      <c r="AM161" s="1287"/>
      <c r="AN161" s="1301">
        <v>83.4</v>
      </c>
      <c r="AO161" s="44"/>
      <c r="AP161" s="221"/>
      <c r="AQ161" s="8"/>
      <c r="AR161" s="8"/>
      <c r="AS161" s="8"/>
      <c r="AT161" s="8"/>
      <c r="AU161" s="8"/>
    </row>
    <row r="162" spans="1:66" s="42" customFormat="1" ht="16.149999999999999" customHeight="1" x14ac:dyDescent="0.25">
      <c r="A162" s="533">
        <f t="shared" si="14"/>
        <v>157</v>
      </c>
      <c r="B162" s="81">
        <v>115</v>
      </c>
      <c r="C162" s="189">
        <v>149</v>
      </c>
      <c r="D162" s="73" t="s">
        <v>29</v>
      </c>
      <c r="E162" s="73" t="s">
        <v>29</v>
      </c>
      <c r="F162" s="1168" t="s">
        <v>453</v>
      </c>
      <c r="G162" s="105" t="s">
        <v>454</v>
      </c>
      <c r="H162" s="105"/>
      <c r="I162" s="151" t="s">
        <v>692</v>
      </c>
      <c r="J162" s="806" t="s">
        <v>455</v>
      </c>
      <c r="K162" s="150" t="s">
        <v>29</v>
      </c>
      <c r="L162" s="150"/>
      <c r="M162" s="150"/>
      <c r="N162" s="150"/>
      <c r="O162" s="1219"/>
      <c r="P162" s="1219"/>
      <c r="Q162" s="1220"/>
      <c r="R162" s="1220"/>
      <c r="S162" s="1220"/>
      <c r="T162" s="1220"/>
      <c r="U162" s="1220"/>
      <c r="V162" s="126"/>
      <c r="W162" s="1291" t="s">
        <v>1279</v>
      </c>
      <c r="X162" s="126"/>
      <c r="Y162" s="1220"/>
      <c r="Z162" s="1220"/>
      <c r="AA162" s="1220"/>
      <c r="AB162" s="1220"/>
      <c r="AC162" s="1221"/>
      <c r="AD162" s="1220"/>
      <c r="AE162" s="1220"/>
      <c r="AF162" s="1220"/>
      <c r="AG162" s="1220"/>
      <c r="AH162" s="1220"/>
      <c r="AI162" s="1220"/>
      <c r="AJ162" s="127"/>
      <c r="AK162" s="127"/>
      <c r="AL162" s="1226"/>
      <c r="AM162" s="1288"/>
      <c r="AN162" s="1302">
        <v>77.3</v>
      </c>
      <c r="AO162" s="44"/>
      <c r="AP162" s="221"/>
      <c r="AQ162" s="8"/>
      <c r="AR162" s="8"/>
      <c r="AS162" s="8"/>
      <c r="AT162" s="8"/>
      <c r="AU162" s="8"/>
      <c r="AV162" s="72"/>
      <c r="AW162" s="72"/>
      <c r="AX162" s="72"/>
      <c r="AY162" s="72"/>
      <c r="AZ162" s="72"/>
      <c r="BA162" s="72"/>
      <c r="BB162" s="72"/>
      <c r="BC162" s="72"/>
      <c r="BD162" s="72"/>
      <c r="BE162" s="72"/>
      <c r="BF162" s="72"/>
      <c r="BG162" s="72"/>
      <c r="BH162" s="72"/>
      <c r="BI162" s="72"/>
      <c r="BJ162" s="72"/>
      <c r="BK162" s="72"/>
      <c r="BL162" s="72"/>
      <c r="BM162" s="72"/>
      <c r="BN162" s="72"/>
    </row>
    <row r="163" spans="1:66" ht="16.149999999999999" customHeight="1" x14ac:dyDescent="0.25">
      <c r="A163" s="533">
        <f t="shared" si="14"/>
        <v>158</v>
      </c>
      <c r="B163" s="81">
        <v>139</v>
      </c>
      <c r="C163" s="1166">
        <v>151</v>
      </c>
      <c r="D163" s="422"/>
      <c r="E163" s="1167"/>
      <c r="F163" s="190" t="s">
        <v>724</v>
      </c>
      <c r="G163" s="55" t="s">
        <v>508</v>
      </c>
      <c r="H163" s="55"/>
      <c r="I163" s="166" t="s">
        <v>29</v>
      </c>
      <c r="J163" s="167"/>
      <c r="K163" s="150" t="s">
        <v>29</v>
      </c>
      <c r="L163" s="150"/>
      <c r="M163" s="150"/>
      <c r="N163" s="150"/>
      <c r="O163" s="1219"/>
      <c r="P163" s="1219"/>
      <c r="Q163" s="1220"/>
      <c r="R163" s="1220"/>
      <c r="S163" s="1220"/>
      <c r="T163" s="1220"/>
      <c r="U163" s="1220"/>
      <c r="V163" s="126"/>
      <c r="W163" s="1291" t="s">
        <v>1279</v>
      </c>
      <c r="X163" s="126"/>
      <c r="Y163" s="1220"/>
      <c r="Z163" s="1220"/>
      <c r="AA163" s="1220"/>
      <c r="AB163" s="1220"/>
      <c r="AC163" s="1221"/>
      <c r="AD163" s="1220"/>
      <c r="AE163" s="1220"/>
      <c r="AF163" s="127"/>
      <c r="AG163" s="127"/>
      <c r="AH163" s="127"/>
      <c r="AI163" s="127"/>
      <c r="AJ163" s="127"/>
      <c r="AK163" s="127"/>
      <c r="AL163" s="1224"/>
      <c r="AM163" s="1287"/>
      <c r="AN163" s="1301" t="e">
        <v>#N/A</v>
      </c>
      <c r="AO163" s="44"/>
      <c r="AP163" s="221"/>
      <c r="AQ163" s="8"/>
      <c r="AR163" s="8"/>
      <c r="AS163" s="8"/>
      <c r="AT163" s="8"/>
      <c r="AU163" s="8"/>
    </row>
    <row r="164" spans="1:66" ht="16.149999999999999" customHeight="1" x14ac:dyDescent="0.25">
      <c r="A164" s="533">
        <f t="shared" si="14"/>
        <v>159</v>
      </c>
      <c r="B164" s="81">
        <v>102</v>
      </c>
      <c r="C164" s="189">
        <v>152</v>
      </c>
      <c r="D164" s="109"/>
      <c r="E164" s="170"/>
      <c r="F164" s="190" t="s">
        <v>725</v>
      </c>
      <c r="G164" s="165" t="s">
        <v>509</v>
      </c>
      <c r="H164" s="165"/>
      <c r="I164" s="166" t="s">
        <v>29</v>
      </c>
      <c r="J164" s="167"/>
      <c r="K164" s="150" t="s">
        <v>29</v>
      </c>
      <c r="L164" s="150"/>
      <c r="M164" s="150"/>
      <c r="N164" s="150"/>
      <c r="O164" s="1219"/>
      <c r="P164" s="1219"/>
      <c r="Q164" s="1220"/>
      <c r="R164" s="1220"/>
      <c r="S164" s="1220"/>
      <c r="T164" s="1220"/>
      <c r="U164" s="1220"/>
      <c r="V164" s="126"/>
      <c r="W164" s="1291" t="s">
        <v>1279</v>
      </c>
      <c r="X164" s="126"/>
      <c r="Y164" s="1220"/>
      <c r="Z164" s="1220"/>
      <c r="AA164" s="1220"/>
      <c r="AB164" s="1220"/>
      <c r="AC164" s="1221"/>
      <c r="AD164" s="1220"/>
      <c r="AE164" s="1220"/>
      <c r="AF164" s="127"/>
      <c r="AG164" s="127"/>
      <c r="AH164" s="127"/>
      <c r="AI164" s="127"/>
      <c r="AJ164" s="127"/>
      <c r="AK164" s="127"/>
      <c r="AL164" s="1224"/>
      <c r="AM164" s="1288"/>
      <c r="AN164" s="1301" t="s">
        <v>1285</v>
      </c>
      <c r="AO164" s="44"/>
      <c r="AP164" s="221"/>
      <c r="AQ164" s="8"/>
      <c r="AR164" s="8"/>
      <c r="AS164" s="8"/>
      <c r="AT164" s="8"/>
      <c r="AU164" s="8"/>
    </row>
    <row r="165" spans="1:66" ht="16.149999999999999" customHeight="1" x14ac:dyDescent="0.25">
      <c r="A165" s="533">
        <f t="shared" si="14"/>
        <v>160</v>
      </c>
      <c r="B165" s="81">
        <v>158</v>
      </c>
      <c r="C165" s="189">
        <v>153</v>
      </c>
      <c r="D165" s="109"/>
      <c r="E165" s="170"/>
      <c r="F165" s="190" t="s">
        <v>726</v>
      </c>
      <c r="G165" s="165" t="s">
        <v>510</v>
      </c>
      <c r="H165" s="165"/>
      <c r="I165" s="166" t="s">
        <v>29</v>
      </c>
      <c r="J165" s="167"/>
      <c r="K165" s="150" t="s">
        <v>29</v>
      </c>
      <c r="L165" s="150"/>
      <c r="M165" s="150"/>
      <c r="N165" s="150"/>
      <c r="O165" s="1219"/>
      <c r="P165" s="1219"/>
      <c r="Q165" s="102"/>
      <c r="R165" s="1220"/>
      <c r="S165" s="1220"/>
      <c r="T165" s="1220"/>
      <c r="U165" s="1220"/>
      <c r="V165" s="126"/>
      <c r="W165" s="1291" t="s">
        <v>1279</v>
      </c>
      <c r="X165" s="126"/>
      <c r="Y165" s="1220"/>
      <c r="Z165" s="1220"/>
      <c r="AA165" s="1220"/>
      <c r="AB165" s="1220"/>
      <c r="AC165" s="1221"/>
      <c r="AD165" s="1220"/>
      <c r="AE165" s="1220"/>
      <c r="AF165" s="1220"/>
      <c r="AG165" s="1220"/>
      <c r="AH165" s="1220"/>
      <c r="AI165" s="1220"/>
      <c r="AJ165" s="1220"/>
      <c r="AK165" s="1220"/>
      <c r="AL165" s="1228"/>
      <c r="AM165" s="1288"/>
      <c r="AN165" s="1301">
        <v>80.3</v>
      </c>
      <c r="AO165" s="44"/>
      <c r="AP165" s="221"/>
      <c r="AQ165" s="8"/>
      <c r="AR165" s="8"/>
      <c r="AS165" s="8"/>
      <c r="AT165" s="8"/>
      <c r="AU165" s="8"/>
    </row>
    <row r="166" spans="1:66" ht="16.149999999999999" customHeight="1" x14ac:dyDescent="0.25">
      <c r="A166" s="533">
        <f t="shared" si="14"/>
        <v>161</v>
      </c>
      <c r="B166" s="81">
        <v>148</v>
      </c>
      <c r="C166" s="189">
        <v>154</v>
      </c>
      <c r="D166" s="109"/>
      <c r="E166" s="170"/>
      <c r="F166" s="190" t="s">
        <v>727</v>
      </c>
      <c r="G166" s="55" t="s">
        <v>511</v>
      </c>
      <c r="H166" s="55"/>
      <c r="I166" s="166" t="s">
        <v>29</v>
      </c>
      <c r="J166" s="167"/>
      <c r="K166" s="150" t="s">
        <v>29</v>
      </c>
      <c r="L166" s="1229"/>
      <c r="M166" s="1229"/>
      <c r="N166" s="150"/>
      <c r="O166" s="166"/>
      <c r="P166" s="166"/>
      <c r="Q166" s="40"/>
      <c r="R166" s="40"/>
      <c r="S166" s="40"/>
      <c r="T166" s="40"/>
      <c r="U166" s="40"/>
      <c r="V166" s="40"/>
      <c r="W166" s="1291" t="s">
        <v>1279</v>
      </c>
      <c r="X166" s="40"/>
      <c r="Y166" s="40"/>
      <c r="Z166" s="40"/>
      <c r="AA166" s="40"/>
      <c r="AB166" s="1220"/>
      <c r="AC166" s="40"/>
      <c r="AD166" s="40"/>
      <c r="AE166" s="40"/>
      <c r="AF166" s="127"/>
      <c r="AG166" s="127"/>
      <c r="AH166" s="127"/>
      <c r="AI166" s="127"/>
      <c r="AJ166" s="433"/>
      <c r="AK166" s="127"/>
      <c r="AL166" s="1224"/>
      <c r="AM166" s="1288"/>
      <c r="AN166" s="1301" t="s">
        <v>1285</v>
      </c>
      <c r="AO166" s="44"/>
      <c r="AP166" s="221"/>
      <c r="AQ166" s="8"/>
      <c r="AR166" s="8"/>
      <c r="AS166" s="8"/>
      <c r="AT166" s="8"/>
      <c r="AU166" s="8"/>
    </row>
    <row r="167" spans="1:66" ht="16.149999999999999" customHeight="1" x14ac:dyDescent="0.25">
      <c r="A167" s="533">
        <f t="shared" si="14"/>
        <v>162</v>
      </c>
      <c r="B167" s="81">
        <v>78</v>
      </c>
      <c r="C167" s="189">
        <v>155</v>
      </c>
      <c r="D167" s="109"/>
      <c r="E167" s="170"/>
      <c r="F167" s="190" t="s">
        <v>728</v>
      </c>
      <c r="G167" s="55" t="s">
        <v>512</v>
      </c>
      <c r="H167" s="55"/>
      <c r="I167" s="166" t="s">
        <v>29</v>
      </c>
      <c r="J167" s="167"/>
      <c r="K167" s="150" t="s">
        <v>29</v>
      </c>
      <c r="L167" s="150"/>
      <c r="M167" s="150"/>
      <c r="N167" s="150"/>
      <c r="O167" s="1219"/>
      <c r="P167" s="1219"/>
      <c r="Q167" s="1220"/>
      <c r="R167" s="1220"/>
      <c r="S167" s="1220"/>
      <c r="T167" s="1220"/>
      <c r="U167" s="1220"/>
      <c r="V167" s="126"/>
      <c r="W167" s="1291" t="s">
        <v>1279</v>
      </c>
      <c r="X167" s="126"/>
      <c r="Y167" s="1220"/>
      <c r="Z167" s="1220"/>
      <c r="AA167" s="1220"/>
      <c r="AB167" s="1220"/>
      <c r="AC167" s="1221"/>
      <c r="AD167" s="1220"/>
      <c r="AE167" s="1220"/>
      <c r="AF167" s="127"/>
      <c r="AG167" s="127"/>
      <c r="AH167" s="127"/>
      <c r="AI167" s="127"/>
      <c r="AJ167" s="127"/>
      <c r="AK167" s="127"/>
      <c r="AL167" s="1224"/>
      <c r="AM167" s="1287"/>
      <c r="AN167" s="1301" t="s">
        <v>1285</v>
      </c>
      <c r="AO167" s="44"/>
      <c r="AP167" s="221"/>
      <c r="AQ167" s="8"/>
      <c r="AR167" s="8"/>
      <c r="AS167" s="8"/>
      <c r="AT167" s="8"/>
      <c r="AU167" s="8"/>
    </row>
    <row r="168" spans="1:66" ht="16.149999999999999" customHeight="1" x14ac:dyDescent="0.25">
      <c r="A168" s="533">
        <f t="shared" si="14"/>
        <v>163</v>
      </c>
      <c r="B168" s="81">
        <v>72</v>
      </c>
      <c r="C168" s="189">
        <v>156</v>
      </c>
      <c r="D168" s="109"/>
      <c r="E168" s="170"/>
      <c r="F168" s="190" t="s">
        <v>729</v>
      </c>
      <c r="G168" s="55" t="s">
        <v>597</v>
      </c>
      <c r="H168" s="55"/>
      <c r="I168" s="166" t="s">
        <v>29</v>
      </c>
      <c r="J168" s="167"/>
      <c r="K168" s="150" t="s">
        <v>29</v>
      </c>
      <c r="L168" s="150"/>
      <c r="M168" s="150"/>
      <c r="N168" s="150"/>
      <c r="O168" s="1219"/>
      <c r="P168" s="1219"/>
      <c r="Q168" s="1220"/>
      <c r="R168" s="1220"/>
      <c r="S168" s="1220"/>
      <c r="T168" s="1220"/>
      <c r="U168" s="1220"/>
      <c r="V168" s="126"/>
      <c r="W168" s="1291" t="s">
        <v>1279</v>
      </c>
      <c r="X168" s="126"/>
      <c r="Y168" s="1220"/>
      <c r="Z168" s="1220"/>
      <c r="AA168" s="1220"/>
      <c r="AB168" s="1220"/>
      <c r="AC168" s="1221"/>
      <c r="AD168" s="1220"/>
      <c r="AE168" s="1220"/>
      <c r="AF168" s="127"/>
      <c r="AG168" s="127"/>
      <c r="AH168" s="127"/>
      <c r="AI168" s="127"/>
      <c r="AJ168" s="127"/>
      <c r="AK168" s="127"/>
      <c r="AL168" s="1224"/>
      <c r="AM168" s="1288"/>
      <c r="AN168" s="1301" t="s">
        <v>1285</v>
      </c>
      <c r="AO168" s="44"/>
      <c r="AP168" s="221"/>
      <c r="AQ168" s="8"/>
      <c r="AR168" s="8"/>
      <c r="AS168" s="8"/>
      <c r="AT168" s="8"/>
      <c r="AU168" s="8"/>
    </row>
    <row r="169" spans="1:66" ht="16.149999999999999" customHeight="1" x14ac:dyDescent="0.25">
      <c r="A169" s="533">
        <f t="shared" si="14"/>
        <v>164</v>
      </c>
      <c r="B169" s="81">
        <v>97</v>
      </c>
      <c r="C169" s="189">
        <v>157</v>
      </c>
      <c r="D169" s="109"/>
      <c r="E169" s="170"/>
      <c r="F169" s="190" t="s">
        <v>730</v>
      </c>
      <c r="G169" s="55" t="s">
        <v>513</v>
      </c>
      <c r="H169" s="55"/>
      <c r="I169" s="166" t="s">
        <v>29</v>
      </c>
      <c r="J169" s="167"/>
      <c r="K169" s="150" t="s">
        <v>29</v>
      </c>
      <c r="L169" s="150"/>
      <c r="M169" s="150"/>
      <c r="N169" s="150"/>
      <c r="O169" s="1219"/>
      <c r="P169" s="1219"/>
      <c r="Q169" s="102"/>
      <c r="R169" s="1220"/>
      <c r="S169" s="1220"/>
      <c r="T169" s="1220"/>
      <c r="U169" s="1220"/>
      <c r="V169" s="126"/>
      <c r="W169" s="1291" t="s">
        <v>1279</v>
      </c>
      <c r="X169" s="126"/>
      <c r="Y169" s="1220"/>
      <c r="Z169" s="1220"/>
      <c r="AA169" s="1220"/>
      <c r="AB169" s="1220"/>
      <c r="AC169" s="1221"/>
      <c r="AD169" s="1220"/>
      <c r="AE169" s="1220"/>
      <c r="AF169" s="1220"/>
      <c r="AG169" s="1220"/>
      <c r="AH169" s="1220"/>
      <c r="AI169" s="1220"/>
      <c r="AJ169" s="1220"/>
      <c r="AK169" s="1220"/>
      <c r="AL169" s="1228"/>
      <c r="AM169" s="1288"/>
      <c r="AN169" s="1301" t="s">
        <v>1285</v>
      </c>
      <c r="AO169" s="44"/>
      <c r="AP169" s="221"/>
      <c r="AQ169" s="8"/>
      <c r="AR169" s="8"/>
      <c r="AS169" s="8"/>
      <c r="AT169" s="8"/>
      <c r="AU169" s="8"/>
    </row>
    <row r="170" spans="1:66" ht="16.149999999999999" customHeight="1" x14ac:dyDescent="0.25">
      <c r="A170" s="533">
        <f t="shared" si="14"/>
        <v>165</v>
      </c>
      <c r="B170" s="81">
        <v>142</v>
      </c>
      <c r="C170" s="189">
        <v>158</v>
      </c>
      <c r="D170" s="109"/>
      <c r="E170" s="170"/>
      <c r="F170" s="190" t="s">
        <v>731</v>
      </c>
      <c r="G170" s="55" t="s">
        <v>514</v>
      </c>
      <c r="H170" s="55"/>
      <c r="I170" s="166" t="s">
        <v>29</v>
      </c>
      <c r="J170" s="167"/>
      <c r="K170" s="150" t="s">
        <v>29</v>
      </c>
      <c r="L170" s="150"/>
      <c r="M170" s="150"/>
      <c r="N170" s="150"/>
      <c r="O170" s="1219"/>
      <c r="P170" s="1219"/>
      <c r="Q170" s="102"/>
      <c r="R170" s="1220"/>
      <c r="S170" s="1220"/>
      <c r="T170" s="1220"/>
      <c r="U170" s="1220"/>
      <c r="V170" s="126"/>
      <c r="W170" s="1291" t="s">
        <v>1279</v>
      </c>
      <c r="X170" s="126"/>
      <c r="Y170" s="1220"/>
      <c r="Z170" s="1220"/>
      <c r="AA170" s="1220"/>
      <c r="AB170" s="1220"/>
      <c r="AC170" s="1221"/>
      <c r="AD170" s="1220"/>
      <c r="AE170" s="1220"/>
      <c r="AF170" s="127"/>
      <c r="AG170" s="127"/>
      <c r="AH170" s="127"/>
      <c r="AI170" s="127"/>
      <c r="AJ170" s="127"/>
      <c r="AK170" s="127"/>
      <c r="AL170" s="1224"/>
      <c r="AM170" s="1288"/>
      <c r="AN170" s="1301" t="s">
        <v>1285</v>
      </c>
      <c r="AO170" s="44"/>
      <c r="AP170" s="221"/>
      <c r="AQ170" s="8"/>
      <c r="AR170" s="8"/>
      <c r="AS170" s="8"/>
      <c r="AT170" s="8"/>
      <c r="AU170" s="8"/>
    </row>
    <row r="171" spans="1:66" ht="16.149999999999999" customHeight="1" x14ac:dyDescent="0.25">
      <c r="A171" s="533">
        <f t="shared" si="14"/>
        <v>166</v>
      </c>
      <c r="B171" s="81">
        <v>41</v>
      </c>
      <c r="C171" s="189">
        <v>159</v>
      </c>
      <c r="D171" s="109"/>
      <c r="E171" s="170"/>
      <c r="F171" s="190" t="s">
        <v>732</v>
      </c>
      <c r="G171" s="165" t="s">
        <v>516</v>
      </c>
      <c r="H171" s="165"/>
      <c r="I171" s="166" t="s">
        <v>29</v>
      </c>
      <c r="J171" s="167"/>
      <c r="K171" s="150" t="s">
        <v>29</v>
      </c>
      <c r="L171" s="150"/>
      <c r="M171" s="150"/>
      <c r="N171" s="150"/>
      <c r="O171" s="1219"/>
      <c r="P171" s="1219"/>
      <c r="Q171" s="1220"/>
      <c r="R171" s="1220"/>
      <c r="S171" s="1220"/>
      <c r="T171" s="1220"/>
      <c r="U171" s="1220"/>
      <c r="V171" s="126"/>
      <c r="W171" s="1291" t="s">
        <v>1279</v>
      </c>
      <c r="X171" s="126"/>
      <c r="Y171" s="1220"/>
      <c r="Z171" s="1220"/>
      <c r="AA171" s="1220"/>
      <c r="AB171" s="1220"/>
      <c r="AC171" s="1221"/>
      <c r="AD171" s="1220"/>
      <c r="AE171" s="1220"/>
      <c r="AF171" s="127"/>
      <c r="AG171" s="127"/>
      <c r="AH171" s="127"/>
      <c r="AI171" s="127"/>
      <c r="AJ171" s="127"/>
      <c r="AK171" s="127"/>
      <c r="AL171" s="1224"/>
      <c r="AM171" s="1288"/>
      <c r="AN171" s="1301" t="s">
        <v>1285</v>
      </c>
      <c r="AO171" s="44"/>
      <c r="AP171" s="221"/>
      <c r="AQ171" s="8"/>
      <c r="AR171" s="8"/>
      <c r="AS171" s="8"/>
      <c r="AT171" s="8"/>
      <c r="AU171" s="8"/>
    </row>
    <row r="172" spans="1:66" ht="16.149999999999999" customHeight="1" x14ac:dyDescent="0.25">
      <c r="A172" s="533">
        <f t="shared" si="14"/>
        <v>167</v>
      </c>
      <c r="B172" s="81">
        <v>7</v>
      </c>
      <c r="C172" s="189">
        <v>160</v>
      </c>
      <c r="D172" s="109"/>
      <c r="E172" s="170"/>
      <c r="F172" s="139" t="s">
        <v>733</v>
      </c>
      <c r="G172" s="165" t="s">
        <v>733</v>
      </c>
      <c r="H172" s="165"/>
      <c r="I172" s="166" t="s">
        <v>29</v>
      </c>
      <c r="J172" s="138"/>
      <c r="K172" s="150" t="s">
        <v>29</v>
      </c>
      <c r="L172" s="1219"/>
      <c r="M172" s="1219"/>
      <c r="N172" s="150"/>
      <c r="O172" s="1219"/>
      <c r="P172" s="1219"/>
      <c r="Q172" s="1220"/>
      <c r="R172" s="1220"/>
      <c r="S172" s="1220"/>
      <c r="T172" s="1220"/>
      <c r="U172" s="1220"/>
      <c r="V172" s="126"/>
      <c r="W172" s="1291" t="s">
        <v>1279</v>
      </c>
      <c r="X172" s="126"/>
      <c r="Y172" s="1220"/>
      <c r="Z172" s="1220"/>
      <c r="AA172" s="1220"/>
      <c r="AB172" s="1220"/>
      <c r="AC172" s="1221"/>
      <c r="AD172" s="1220"/>
      <c r="AE172" s="1220"/>
      <c r="AF172" s="127"/>
      <c r="AG172" s="127"/>
      <c r="AH172" s="127"/>
      <c r="AI172" s="127"/>
      <c r="AJ172" s="127"/>
      <c r="AK172" s="127"/>
      <c r="AL172" s="1224"/>
      <c r="AM172" s="1288"/>
      <c r="AN172" s="1301" t="s">
        <v>1285</v>
      </c>
      <c r="AO172" s="44"/>
      <c r="AP172" s="221"/>
      <c r="AQ172" s="8"/>
      <c r="AR172" s="8"/>
      <c r="AS172" s="8"/>
      <c r="AT172" s="8"/>
      <c r="AU172" s="8"/>
      <c r="AV172" s="22"/>
      <c r="AW172" s="22"/>
    </row>
    <row r="173" spans="1:66" ht="16.149999999999999" customHeight="1" x14ac:dyDescent="0.25">
      <c r="A173" s="533">
        <f t="shared" si="14"/>
        <v>168</v>
      </c>
      <c r="B173" s="81">
        <v>9</v>
      </c>
      <c r="C173" s="189">
        <v>161</v>
      </c>
      <c r="D173" s="109"/>
      <c r="E173" s="170"/>
      <c r="F173" s="139" t="s">
        <v>518</v>
      </c>
      <c r="G173" s="55" t="s">
        <v>518</v>
      </c>
      <c r="H173" s="55"/>
      <c r="I173" s="166" t="s">
        <v>29</v>
      </c>
      <c r="J173" s="167"/>
      <c r="K173" s="150" t="s">
        <v>29</v>
      </c>
      <c r="L173" s="150"/>
      <c r="M173" s="150"/>
      <c r="N173" s="150"/>
      <c r="O173" s="1219"/>
      <c r="P173" s="1219"/>
      <c r="Q173" s="102"/>
      <c r="R173" s="1220"/>
      <c r="S173" s="1220"/>
      <c r="T173" s="1220"/>
      <c r="U173" s="1220"/>
      <c r="V173" s="126"/>
      <c r="W173" s="1291" t="s">
        <v>1279</v>
      </c>
      <c r="X173" s="126"/>
      <c r="Y173" s="1220"/>
      <c r="Z173" s="1220"/>
      <c r="AA173" s="1220"/>
      <c r="AB173" s="1220"/>
      <c r="AC173" s="1221"/>
      <c r="AD173" s="1220"/>
      <c r="AE173" s="1220"/>
      <c r="AF173" s="1220"/>
      <c r="AG173" s="1220"/>
      <c r="AH173" s="1220"/>
      <c r="AI173" s="1220"/>
      <c r="AJ173" s="1220"/>
      <c r="AK173" s="1220"/>
      <c r="AL173" s="1228"/>
      <c r="AM173" s="1288"/>
      <c r="AN173" s="1301" t="s">
        <v>1285</v>
      </c>
      <c r="AO173" s="44"/>
      <c r="AP173" s="221"/>
      <c r="AQ173" s="8"/>
      <c r="AR173" s="8"/>
      <c r="AS173" s="8"/>
      <c r="AT173" s="8"/>
      <c r="AU173" s="8"/>
    </row>
    <row r="174" spans="1:66" ht="16.149999999999999" customHeight="1" x14ac:dyDescent="0.25">
      <c r="A174" s="533">
        <f t="shared" si="14"/>
        <v>169</v>
      </c>
      <c r="B174" s="81">
        <v>112</v>
      </c>
      <c r="C174" s="189">
        <v>162</v>
      </c>
      <c r="D174" s="109"/>
      <c r="E174" s="170"/>
      <c r="F174" s="139" t="s">
        <v>519</v>
      </c>
      <c r="G174" s="55" t="s">
        <v>519</v>
      </c>
      <c r="H174" s="55"/>
      <c r="I174" s="166" t="s">
        <v>29</v>
      </c>
      <c r="J174" s="167"/>
      <c r="K174" s="150" t="s">
        <v>29</v>
      </c>
      <c r="L174" s="150"/>
      <c r="M174" s="150"/>
      <c r="N174" s="150"/>
      <c r="O174" s="1219"/>
      <c r="P174" s="1219"/>
      <c r="Q174" s="1220"/>
      <c r="R174" s="1220"/>
      <c r="S174" s="1220"/>
      <c r="T174" s="1220"/>
      <c r="U174" s="1220"/>
      <c r="V174" s="126"/>
      <c r="W174" s="1291" t="s">
        <v>1279</v>
      </c>
      <c r="X174" s="126"/>
      <c r="Y174" s="1220"/>
      <c r="Z174" s="1220"/>
      <c r="AA174" s="1220"/>
      <c r="AB174" s="1220"/>
      <c r="AC174" s="1221"/>
      <c r="AD174" s="1220"/>
      <c r="AE174" s="1220"/>
      <c r="AF174" s="127"/>
      <c r="AG174" s="127"/>
      <c r="AH174" s="127"/>
      <c r="AI174" s="127"/>
      <c r="AJ174" s="127"/>
      <c r="AK174" s="127"/>
      <c r="AL174" s="1224"/>
      <c r="AM174" s="1288"/>
      <c r="AN174" s="1301" t="s">
        <v>1285</v>
      </c>
      <c r="AO174" s="44"/>
      <c r="AP174" s="221"/>
      <c r="AQ174" s="8"/>
      <c r="AR174" s="8"/>
      <c r="AS174" s="8"/>
      <c r="AT174" s="8"/>
      <c r="AU174" s="8"/>
    </row>
    <row r="175" spans="1:66" ht="16.149999999999999" customHeight="1" x14ac:dyDescent="0.25">
      <c r="A175" s="533">
        <f t="shared" si="14"/>
        <v>170</v>
      </c>
      <c r="B175" s="81">
        <v>144</v>
      </c>
      <c r="C175" s="189">
        <v>163</v>
      </c>
      <c r="D175" s="109"/>
      <c r="E175" s="170"/>
      <c r="F175" s="190" t="s">
        <v>734</v>
      </c>
      <c r="G175" s="55" t="s">
        <v>520</v>
      </c>
      <c r="H175" s="55"/>
      <c r="I175" s="166" t="s">
        <v>29</v>
      </c>
      <c r="J175" s="167"/>
      <c r="K175" s="150" t="s">
        <v>29</v>
      </c>
      <c r="L175" s="166"/>
      <c r="M175" s="166"/>
      <c r="N175" s="1219"/>
      <c r="O175" s="1222"/>
      <c r="P175" s="1230"/>
      <c r="Q175" s="1223"/>
      <c r="R175" s="1223"/>
      <c r="S175" s="40"/>
      <c r="T175" s="40"/>
      <c r="U175" s="40"/>
      <c r="V175" s="40"/>
      <c r="W175" s="1291" t="s">
        <v>1279</v>
      </c>
      <c r="X175" s="40"/>
      <c r="Y175" s="40"/>
      <c r="Z175" s="40"/>
      <c r="AA175" s="40"/>
      <c r="AB175" s="1220"/>
      <c r="AC175" s="40"/>
      <c r="AD175" s="40"/>
      <c r="AE175" s="40"/>
      <c r="AF175" s="40"/>
      <c r="AG175" s="40"/>
      <c r="AH175" s="40"/>
      <c r="AI175" s="40"/>
      <c r="AJ175" s="127"/>
      <c r="AK175" s="127"/>
      <c r="AL175" s="1224"/>
      <c r="AM175" s="1288"/>
      <c r="AN175" s="1301" t="s">
        <v>1285</v>
      </c>
      <c r="AO175" s="44"/>
      <c r="AP175" s="221"/>
      <c r="AQ175" s="8"/>
      <c r="AR175" s="8"/>
      <c r="AS175" s="8"/>
      <c r="AT175" s="8"/>
      <c r="AU175" s="8"/>
    </row>
    <row r="176" spans="1:66" ht="16.149999999999999" customHeight="1" x14ac:dyDescent="0.25">
      <c r="A176" s="533">
        <f t="shared" si="14"/>
        <v>171</v>
      </c>
      <c r="B176" s="81">
        <v>135</v>
      </c>
      <c r="C176" s="189">
        <v>164</v>
      </c>
      <c r="D176" s="109"/>
      <c r="E176" s="170"/>
      <c r="F176" s="190" t="s">
        <v>735</v>
      </c>
      <c r="G176" s="55" t="s">
        <v>521</v>
      </c>
      <c r="H176" s="55"/>
      <c r="I176" s="166" t="s">
        <v>29</v>
      </c>
      <c r="J176" s="167"/>
      <c r="K176" s="150" t="s">
        <v>29</v>
      </c>
      <c r="L176" s="150"/>
      <c r="M176" s="150"/>
      <c r="N176" s="150"/>
      <c r="O176" s="1219"/>
      <c r="P176" s="1219"/>
      <c r="Q176" s="1220"/>
      <c r="R176" s="1220"/>
      <c r="S176" s="1220"/>
      <c r="T176" s="1220"/>
      <c r="U176" s="1220"/>
      <c r="V176" s="126"/>
      <c r="W176" s="1291" t="s">
        <v>1279</v>
      </c>
      <c r="X176" s="126"/>
      <c r="Y176" s="1220"/>
      <c r="Z176" s="1220"/>
      <c r="AA176" s="1220"/>
      <c r="AB176" s="1220"/>
      <c r="AC176" s="1221"/>
      <c r="AD176" s="1220"/>
      <c r="AE176" s="1220"/>
      <c r="AF176" s="127"/>
      <c r="AG176" s="127"/>
      <c r="AH176" s="127"/>
      <c r="AI176" s="127"/>
      <c r="AJ176" s="127"/>
      <c r="AK176" s="127"/>
      <c r="AL176" s="1224"/>
      <c r="AM176" s="1288"/>
      <c r="AN176" s="1301" t="s">
        <v>1285</v>
      </c>
      <c r="AO176" s="44"/>
      <c r="AP176" s="221"/>
      <c r="AQ176" s="8"/>
      <c r="AR176" s="8"/>
      <c r="AS176" s="8"/>
      <c r="AT176" s="8"/>
      <c r="AU176" s="8"/>
    </row>
    <row r="177" spans="1:66" ht="16.149999999999999" customHeight="1" x14ac:dyDescent="0.25">
      <c r="A177" s="533">
        <f t="shared" si="14"/>
        <v>172</v>
      </c>
      <c r="B177" s="81">
        <v>138</v>
      </c>
      <c r="C177" s="189">
        <v>165</v>
      </c>
      <c r="D177" s="109"/>
      <c r="E177" s="170"/>
      <c r="F177" s="190" t="s">
        <v>736</v>
      </c>
      <c r="G177" s="55" t="s">
        <v>522</v>
      </c>
      <c r="H177" s="55"/>
      <c r="I177" s="166" t="s">
        <v>29</v>
      </c>
      <c r="J177" s="167"/>
      <c r="K177" s="150" t="s">
        <v>29</v>
      </c>
      <c r="L177" s="150"/>
      <c r="M177" s="150"/>
      <c r="N177" s="150"/>
      <c r="O177" s="1219"/>
      <c r="P177" s="1219"/>
      <c r="Q177" s="1220"/>
      <c r="R177" s="1220"/>
      <c r="S177" s="1220"/>
      <c r="T177" s="1220"/>
      <c r="U177" s="1220"/>
      <c r="V177" s="126"/>
      <c r="W177" s="1291" t="s">
        <v>1279</v>
      </c>
      <c r="X177" s="126"/>
      <c r="Y177" s="1220"/>
      <c r="Z177" s="1220"/>
      <c r="AA177" s="1220"/>
      <c r="AB177" s="1220"/>
      <c r="AC177" s="1221"/>
      <c r="AD177" s="1220"/>
      <c r="AE177" s="1220"/>
      <c r="AF177" s="127"/>
      <c r="AG177" s="127"/>
      <c r="AH177" s="127"/>
      <c r="AI177" s="127"/>
      <c r="AJ177" s="127"/>
      <c r="AK177" s="127"/>
      <c r="AL177" s="1224"/>
      <c r="AM177" s="1288"/>
      <c r="AN177" s="1301" t="s">
        <v>1285</v>
      </c>
      <c r="AO177" s="44"/>
      <c r="AP177" s="221"/>
      <c r="AQ177" s="8"/>
      <c r="AR177" s="8"/>
      <c r="AS177" s="8"/>
      <c r="AT177" s="8"/>
      <c r="AU177" s="8"/>
    </row>
    <row r="178" spans="1:66" ht="16.149999999999999" customHeight="1" x14ac:dyDescent="0.25">
      <c r="A178" s="533">
        <f t="shared" si="14"/>
        <v>173</v>
      </c>
      <c r="B178" s="81">
        <v>143</v>
      </c>
      <c r="C178" s="189">
        <v>166</v>
      </c>
      <c r="D178" s="109"/>
      <c r="E178" s="170"/>
      <c r="F178" s="190" t="s">
        <v>737</v>
      </c>
      <c r="G178" s="55" t="s">
        <v>523</v>
      </c>
      <c r="H178" s="55"/>
      <c r="I178" s="166" t="s">
        <v>29</v>
      </c>
      <c r="J178" s="167"/>
      <c r="K178" s="150" t="s">
        <v>29</v>
      </c>
      <c r="L178" s="150"/>
      <c r="M178" s="150"/>
      <c r="N178" s="150"/>
      <c r="O178" s="1219"/>
      <c r="P178" s="1219"/>
      <c r="Q178" s="102"/>
      <c r="R178" s="1220"/>
      <c r="S178" s="1220"/>
      <c r="T178" s="1220"/>
      <c r="U178" s="1220"/>
      <c r="V178" s="126"/>
      <c r="W178" s="1291" t="s">
        <v>1279</v>
      </c>
      <c r="X178" s="126"/>
      <c r="Y178" s="1220"/>
      <c r="Z178" s="1220"/>
      <c r="AA178" s="1220"/>
      <c r="AB178" s="1220"/>
      <c r="AC178" s="1221"/>
      <c r="AD178" s="1220"/>
      <c r="AE178" s="1220"/>
      <c r="AF178" s="1220"/>
      <c r="AG178" s="1220"/>
      <c r="AH178" s="1220"/>
      <c r="AI178" s="1220"/>
      <c r="AJ178" s="1220"/>
      <c r="AK178" s="1220"/>
      <c r="AL178" s="1228"/>
      <c r="AM178" s="1287"/>
      <c r="AN178" s="1301" t="s">
        <v>1285</v>
      </c>
      <c r="AO178" s="44"/>
      <c r="AP178" s="221"/>
      <c r="AQ178" s="8"/>
      <c r="AR178" s="8"/>
      <c r="AS178" s="8"/>
      <c r="AT178" s="8"/>
      <c r="AU178" s="8"/>
    </row>
    <row r="179" spans="1:66" s="42" customFormat="1" ht="16.149999999999999" customHeight="1" x14ac:dyDescent="0.25">
      <c r="A179" s="533">
        <f t="shared" si="14"/>
        <v>174</v>
      </c>
      <c r="B179" s="81">
        <v>145</v>
      </c>
      <c r="C179" s="189">
        <v>167</v>
      </c>
      <c r="D179" s="109"/>
      <c r="E179" s="170"/>
      <c r="F179" s="190" t="s">
        <v>738</v>
      </c>
      <c r="G179" s="55" t="s">
        <v>524</v>
      </c>
      <c r="H179" s="55"/>
      <c r="I179" s="166" t="s">
        <v>29</v>
      </c>
      <c r="J179" s="167"/>
      <c r="K179" s="150" t="s">
        <v>29</v>
      </c>
      <c r="L179" s="1229"/>
      <c r="M179" s="1229"/>
      <c r="N179" s="1219"/>
      <c r="O179" s="166"/>
      <c r="P179" s="166"/>
      <c r="Q179" s="40"/>
      <c r="R179" s="40"/>
      <c r="S179" s="40"/>
      <c r="T179" s="40"/>
      <c r="U179" s="40"/>
      <c r="V179" s="40"/>
      <c r="W179" s="1291" t="s">
        <v>1279</v>
      </c>
      <c r="X179" s="40"/>
      <c r="Y179" s="40"/>
      <c r="Z179" s="40"/>
      <c r="AA179" s="40"/>
      <c r="AB179" s="1220"/>
      <c r="AC179" s="40"/>
      <c r="AD179" s="40"/>
      <c r="AE179" s="40"/>
      <c r="AF179" s="127"/>
      <c r="AG179" s="127"/>
      <c r="AH179" s="127"/>
      <c r="AI179" s="127"/>
      <c r="AJ179" s="433"/>
      <c r="AK179" s="127"/>
      <c r="AL179" s="1224"/>
      <c r="AM179" s="1288"/>
      <c r="AN179" s="1301" t="s">
        <v>1285</v>
      </c>
      <c r="AO179" s="44"/>
      <c r="AP179" s="221"/>
      <c r="AQ179" s="8"/>
      <c r="AR179" s="8"/>
      <c r="AS179" s="8"/>
      <c r="AT179" s="8"/>
      <c r="AU179" s="8"/>
      <c r="AV179" s="72"/>
      <c r="AW179" s="72"/>
      <c r="AX179" s="72"/>
      <c r="AY179" s="72"/>
      <c r="AZ179" s="72"/>
      <c r="BA179" s="72"/>
      <c r="BB179" s="72"/>
      <c r="BC179" s="72"/>
      <c r="BD179" s="72"/>
      <c r="BE179" s="72"/>
      <c r="BF179" s="72"/>
      <c r="BG179" s="72"/>
      <c r="BH179" s="72"/>
      <c r="BI179" s="72"/>
      <c r="BJ179" s="72"/>
      <c r="BK179" s="72"/>
      <c r="BL179" s="72"/>
      <c r="BM179" s="72"/>
      <c r="BN179" s="72"/>
    </row>
    <row r="180" spans="1:66" s="42" customFormat="1" ht="16.149999999999999" customHeight="1" x14ac:dyDescent="0.25">
      <c r="A180" s="533">
        <f t="shared" si="14"/>
        <v>175</v>
      </c>
      <c r="B180" s="81">
        <v>147</v>
      </c>
      <c r="C180" s="189">
        <v>168</v>
      </c>
      <c r="D180" s="109"/>
      <c r="E180" s="170"/>
      <c r="F180" s="190" t="s">
        <v>739</v>
      </c>
      <c r="G180" s="55" t="s">
        <v>525</v>
      </c>
      <c r="H180" s="55"/>
      <c r="I180" s="166" t="s">
        <v>29</v>
      </c>
      <c r="J180" s="167"/>
      <c r="K180" s="150" t="s">
        <v>29</v>
      </c>
      <c r="L180" s="150"/>
      <c r="M180" s="150"/>
      <c r="N180" s="150"/>
      <c r="O180" s="1219"/>
      <c r="P180" s="1219"/>
      <c r="Q180" s="102"/>
      <c r="R180" s="1220"/>
      <c r="S180" s="1220"/>
      <c r="T180" s="1220"/>
      <c r="U180" s="1220"/>
      <c r="V180" s="126"/>
      <c r="W180" s="1291" t="s">
        <v>1279</v>
      </c>
      <c r="X180" s="126"/>
      <c r="Y180" s="1220"/>
      <c r="Z180" s="1220"/>
      <c r="AA180" s="1220"/>
      <c r="AB180" s="1220"/>
      <c r="AC180" s="1221"/>
      <c r="AD180" s="1220"/>
      <c r="AE180" s="1220"/>
      <c r="AF180" s="1220"/>
      <c r="AG180" s="1220"/>
      <c r="AH180" s="1220"/>
      <c r="AI180" s="1220"/>
      <c r="AJ180" s="1220"/>
      <c r="AK180" s="1220"/>
      <c r="AL180" s="1228"/>
      <c r="AM180" s="1288"/>
      <c r="AN180" s="1301" t="s">
        <v>1285</v>
      </c>
      <c r="AO180" s="44"/>
      <c r="AP180" s="221"/>
      <c r="AQ180" s="8"/>
      <c r="AR180" s="8"/>
      <c r="AS180" s="8"/>
      <c r="AT180" s="8"/>
      <c r="AU180" s="8"/>
      <c r="AV180" s="72"/>
      <c r="AW180" s="72"/>
      <c r="AX180" s="72"/>
      <c r="AY180" s="72"/>
      <c r="AZ180" s="72"/>
      <c r="BA180" s="72"/>
      <c r="BB180" s="72"/>
      <c r="BC180" s="72"/>
      <c r="BD180" s="72"/>
      <c r="BE180" s="72"/>
      <c r="BF180" s="72"/>
      <c r="BG180" s="72"/>
      <c r="BH180" s="72"/>
      <c r="BI180" s="72"/>
      <c r="BJ180" s="72"/>
      <c r="BK180" s="72"/>
      <c r="BL180" s="72"/>
      <c r="BM180" s="72"/>
      <c r="BN180" s="72"/>
    </row>
    <row r="181" spans="1:66" s="42" customFormat="1" ht="16.149999999999999" customHeight="1" x14ac:dyDescent="0.25">
      <c r="A181" s="533">
        <f t="shared" si="14"/>
        <v>176</v>
      </c>
      <c r="B181" s="81">
        <v>175</v>
      </c>
      <c r="C181" s="189">
        <v>169</v>
      </c>
      <c r="D181" s="109"/>
      <c r="E181" s="170"/>
      <c r="F181" s="190" t="s">
        <v>740</v>
      </c>
      <c r="G181" s="55" t="s">
        <v>526</v>
      </c>
      <c r="H181" s="55"/>
      <c r="I181" s="166" t="s">
        <v>29</v>
      </c>
      <c r="J181" s="167"/>
      <c r="K181" s="150" t="s">
        <v>29</v>
      </c>
      <c r="L181" s="1229"/>
      <c r="M181" s="1229"/>
      <c r="N181" s="1229"/>
      <c r="O181" s="166"/>
      <c r="P181" s="166"/>
      <c r="Q181" s="40"/>
      <c r="R181" s="40"/>
      <c r="S181" s="40"/>
      <c r="T181" s="40"/>
      <c r="U181" s="40"/>
      <c r="V181" s="40"/>
      <c r="W181" s="1291" t="s">
        <v>1279</v>
      </c>
      <c r="X181" s="40"/>
      <c r="Y181" s="40"/>
      <c r="Z181" s="40"/>
      <c r="AA181" s="40"/>
      <c r="AB181" s="127"/>
      <c r="AC181" s="40"/>
      <c r="AD181" s="40"/>
      <c r="AE181" s="40"/>
      <c r="AF181" s="127"/>
      <c r="AG181" s="127"/>
      <c r="AH181" s="127"/>
      <c r="AI181" s="127"/>
      <c r="AJ181" s="433"/>
      <c r="AK181" s="127"/>
      <c r="AL181" s="1224"/>
      <c r="AM181" s="1288"/>
      <c r="AN181" s="1301" t="s">
        <v>1285</v>
      </c>
      <c r="AO181" s="44"/>
      <c r="AP181" s="221"/>
      <c r="AQ181" s="8"/>
      <c r="AR181" s="8"/>
      <c r="AS181" s="8"/>
      <c r="AT181" s="8"/>
      <c r="AU181" s="8"/>
      <c r="AV181" s="72"/>
      <c r="AW181" s="72"/>
      <c r="AX181" s="72"/>
      <c r="AY181" s="72"/>
      <c r="AZ181" s="72"/>
      <c r="BA181" s="72"/>
      <c r="BB181" s="72"/>
      <c r="BC181" s="72"/>
      <c r="BD181" s="72"/>
      <c r="BE181" s="72"/>
      <c r="BF181" s="72"/>
      <c r="BG181" s="72"/>
      <c r="BH181" s="72"/>
      <c r="BI181" s="72"/>
      <c r="BJ181" s="72"/>
      <c r="BK181" s="72"/>
      <c r="BL181" s="72"/>
      <c r="BM181" s="72"/>
      <c r="BN181" s="72"/>
    </row>
    <row r="182" spans="1:66" s="42" customFormat="1" ht="16.149999999999999" customHeight="1" x14ac:dyDescent="0.25">
      <c r="A182" s="533">
        <f t="shared" si="14"/>
        <v>177</v>
      </c>
      <c r="B182" s="168">
        <v>176</v>
      </c>
      <c r="C182" s="233">
        <v>170</v>
      </c>
      <c r="D182" s="171"/>
      <c r="E182" s="170"/>
      <c r="F182" s="191" t="s">
        <v>741</v>
      </c>
      <c r="G182" s="105" t="s">
        <v>527</v>
      </c>
      <c r="H182" s="105"/>
      <c r="I182" s="192"/>
      <c r="J182" s="179"/>
      <c r="K182" s="234">
        <f>COUNT(C159:C182)</f>
        <v>24</v>
      </c>
      <c r="L182" s="166"/>
      <c r="M182" s="166"/>
      <c r="N182" s="166"/>
      <c r="O182" s="1255"/>
      <c r="P182" s="1255"/>
      <c r="Q182" s="55"/>
      <c r="R182" s="127"/>
      <c r="S182" s="127"/>
      <c r="T182" s="127"/>
      <c r="U182" s="127"/>
      <c r="V182" s="801"/>
      <c r="W182" s="1292" t="s">
        <v>1279</v>
      </c>
      <c r="X182" s="801"/>
      <c r="Y182" s="127"/>
      <c r="Z182" s="127"/>
      <c r="AA182" s="127"/>
      <c r="AB182" s="127"/>
      <c r="AC182" s="1256"/>
      <c r="AD182" s="127"/>
      <c r="AE182" s="127"/>
      <c r="AF182" s="127"/>
      <c r="AG182" s="127"/>
      <c r="AH182" s="127"/>
      <c r="AI182" s="127"/>
      <c r="AJ182" s="127"/>
      <c r="AK182" s="127"/>
      <c r="AL182" s="1224"/>
      <c r="AM182" s="1289"/>
      <c r="AN182" s="1303" t="s">
        <v>1285</v>
      </c>
      <c r="AO182" s="44"/>
      <c r="AP182" s="221"/>
      <c r="AQ182" s="8"/>
      <c r="AR182" s="8"/>
      <c r="AS182" s="8"/>
      <c r="AT182" s="8"/>
      <c r="AU182" s="8"/>
      <c r="AV182" s="72"/>
      <c r="AW182" s="72"/>
      <c r="AX182" s="72"/>
      <c r="AY182" s="72"/>
      <c r="AZ182" s="72"/>
      <c r="BA182" s="72"/>
      <c r="BB182" s="72"/>
      <c r="BC182" s="72"/>
      <c r="BD182" s="72"/>
      <c r="BE182" s="72"/>
      <c r="BF182" s="72"/>
      <c r="BG182" s="72"/>
      <c r="BH182" s="72"/>
      <c r="BI182" s="72"/>
      <c r="BJ182" s="72"/>
      <c r="BK182" s="72"/>
      <c r="BL182" s="72"/>
      <c r="BM182" s="72"/>
      <c r="BN182" s="72"/>
    </row>
    <row r="183" spans="1:66" ht="16.149999999999999" customHeight="1" x14ac:dyDescent="0.25">
      <c r="A183" s="533">
        <f t="shared" si="14"/>
        <v>178</v>
      </c>
      <c r="B183" s="81">
        <v>1</v>
      </c>
      <c r="C183" s="169"/>
      <c r="D183" s="172"/>
      <c r="E183" s="173"/>
      <c r="F183" s="55"/>
      <c r="G183" s="165" t="s">
        <v>587</v>
      </c>
      <c r="H183" s="165"/>
      <c r="I183" s="40"/>
      <c r="J183" s="167"/>
      <c r="K183" s="1257"/>
      <c r="L183" s="1258"/>
      <c r="M183" s="1258"/>
      <c r="N183" s="1258"/>
      <c r="O183" s="1259"/>
      <c r="P183" s="1259"/>
      <c r="Q183" s="103"/>
      <c r="R183" s="1260"/>
      <c r="S183" s="1260"/>
      <c r="T183" s="1260"/>
      <c r="U183" s="1260"/>
      <c r="V183" s="1261"/>
      <c r="W183" s="1262"/>
      <c r="X183" s="1261"/>
      <c r="Y183" s="1260"/>
      <c r="Z183" s="1260"/>
      <c r="AA183" s="1260"/>
      <c r="AB183" s="1260"/>
      <c r="AC183" s="1263"/>
      <c r="AD183" s="1260"/>
      <c r="AE183" s="1260"/>
      <c r="AF183" s="1260"/>
      <c r="AG183" s="1260"/>
      <c r="AH183" s="1260"/>
      <c r="AI183" s="1260"/>
      <c r="AJ183" s="1260"/>
      <c r="AK183" s="1260"/>
      <c r="AL183" s="1264"/>
      <c r="AM183" s="1265"/>
      <c r="AN183" s="1266"/>
      <c r="AO183" s="44"/>
      <c r="AP183" s="221"/>
      <c r="AQ183" s="8"/>
      <c r="AR183" s="8"/>
      <c r="AS183" s="8"/>
      <c r="AT183" s="8"/>
      <c r="AU183" s="8"/>
    </row>
    <row r="184" spans="1:66" ht="16.149999999999999" customHeight="1" x14ac:dyDescent="0.25">
      <c r="A184" s="533">
        <f t="shared" si="14"/>
        <v>179</v>
      </c>
      <c r="B184" s="81">
        <v>11</v>
      </c>
      <c r="C184" s="169"/>
      <c r="D184" s="172"/>
      <c r="E184" s="173"/>
      <c r="F184" s="55"/>
      <c r="G184" s="165" t="s">
        <v>579</v>
      </c>
      <c r="H184" s="165"/>
      <c r="I184" s="55"/>
      <c r="J184" s="143"/>
      <c r="K184" s="1267"/>
      <c r="L184" s="166"/>
      <c r="M184" s="1268"/>
      <c r="N184" s="166"/>
      <c r="O184" s="1255"/>
      <c r="P184" s="1255"/>
      <c r="Q184" s="55"/>
      <c r="R184" s="127"/>
      <c r="S184" s="127"/>
      <c r="T184" s="127"/>
      <c r="U184" s="127"/>
      <c r="V184" s="801"/>
      <c r="W184" s="1269"/>
      <c r="X184" s="801"/>
      <c r="Y184" s="127"/>
      <c r="Z184" s="127"/>
      <c r="AA184" s="127"/>
      <c r="AB184" s="127"/>
      <c r="AC184" s="1256"/>
      <c r="AD184" s="127"/>
      <c r="AE184" s="127"/>
      <c r="AF184" s="127"/>
      <c r="AG184" s="127"/>
      <c r="AH184" s="127"/>
      <c r="AI184" s="127"/>
      <c r="AJ184" s="127"/>
      <c r="AK184" s="127"/>
      <c r="AL184" s="1224"/>
      <c r="AM184" s="1227"/>
      <c r="AN184" s="1270"/>
      <c r="AO184" s="44"/>
      <c r="AP184" s="221"/>
      <c r="AQ184" s="8"/>
      <c r="AR184" s="8"/>
      <c r="AS184" s="8"/>
      <c r="AT184" s="8"/>
      <c r="AU184" s="8"/>
    </row>
    <row r="185" spans="1:66" ht="16.149999999999999" customHeight="1" x14ac:dyDescent="0.25">
      <c r="A185" s="533">
        <f t="shared" si="14"/>
        <v>180</v>
      </c>
      <c r="B185" s="81">
        <v>31</v>
      </c>
      <c r="C185" s="169"/>
      <c r="D185" s="169"/>
      <c r="E185" s="169"/>
      <c r="F185" s="55"/>
      <c r="G185" s="165" t="s">
        <v>575</v>
      </c>
      <c r="H185" s="165"/>
      <c r="I185" s="132"/>
      <c r="J185" s="138"/>
      <c r="K185" s="1271"/>
      <c r="L185" s="166"/>
      <c r="M185" s="1268"/>
      <c r="N185" s="166"/>
      <c r="O185" s="1255"/>
      <c r="P185" s="1255"/>
      <c r="Q185" s="55"/>
      <c r="R185" s="127"/>
      <c r="S185" s="127"/>
      <c r="T185" s="127"/>
      <c r="U185" s="127"/>
      <c r="V185" s="801"/>
      <c r="W185" s="1269"/>
      <c r="X185" s="801"/>
      <c r="Y185" s="127"/>
      <c r="Z185" s="127"/>
      <c r="AA185" s="127"/>
      <c r="AB185" s="127"/>
      <c r="AC185" s="1256"/>
      <c r="AD185" s="127"/>
      <c r="AE185" s="127"/>
      <c r="AF185" s="127"/>
      <c r="AG185" s="127"/>
      <c r="AH185" s="127"/>
      <c r="AI185" s="127"/>
      <c r="AJ185" s="127"/>
      <c r="AK185" s="127"/>
      <c r="AL185" s="1224"/>
      <c r="AM185" s="1227"/>
      <c r="AN185" s="1270"/>
      <c r="AO185" s="44"/>
      <c r="AP185" s="221"/>
      <c r="AQ185" s="8"/>
      <c r="AR185" s="8"/>
      <c r="AS185" s="8"/>
      <c r="AT185" s="8"/>
      <c r="AU185" s="8"/>
    </row>
    <row r="186" spans="1:66" ht="16.149999999999999" customHeight="1" x14ac:dyDescent="0.25">
      <c r="A186" s="533">
        <f t="shared" si="14"/>
        <v>181</v>
      </c>
      <c r="B186" s="81">
        <v>44</v>
      </c>
      <c r="C186" s="169"/>
      <c r="D186" s="169"/>
      <c r="E186" s="169"/>
      <c r="F186" s="55"/>
      <c r="G186" s="165" t="s">
        <v>571</v>
      </c>
      <c r="H186" s="165"/>
      <c r="I186" s="132"/>
      <c r="J186" s="138"/>
      <c r="K186" s="1271"/>
      <c r="L186" s="166"/>
      <c r="M186" s="1268"/>
      <c r="N186" s="166"/>
      <c r="O186" s="1255"/>
      <c r="P186" s="1255"/>
      <c r="Q186" s="55"/>
      <c r="R186" s="127"/>
      <c r="S186" s="127"/>
      <c r="T186" s="127"/>
      <c r="U186" s="127"/>
      <c r="V186" s="801"/>
      <c r="W186" s="1269"/>
      <c r="X186" s="801"/>
      <c r="Y186" s="127"/>
      <c r="Z186" s="127"/>
      <c r="AA186" s="127"/>
      <c r="AB186" s="127"/>
      <c r="AC186" s="1256"/>
      <c r="AD186" s="127"/>
      <c r="AE186" s="127"/>
      <c r="AF186" s="127"/>
      <c r="AG186" s="127"/>
      <c r="AH186" s="127"/>
      <c r="AI186" s="127"/>
      <c r="AJ186" s="127"/>
      <c r="AK186" s="127"/>
      <c r="AL186" s="1224"/>
      <c r="AM186" s="1227"/>
      <c r="AN186" s="1270"/>
      <c r="AO186" s="44"/>
      <c r="AP186" s="221"/>
      <c r="AQ186" s="8"/>
      <c r="AR186" s="8"/>
      <c r="AS186" s="8"/>
      <c r="AT186" s="8"/>
      <c r="AU186" s="8"/>
    </row>
    <row r="187" spans="1:66" ht="16.149999999999999" customHeight="1" x14ac:dyDescent="0.25">
      <c r="A187" s="533">
        <f t="shared" si="14"/>
        <v>182</v>
      </c>
      <c r="B187" s="81">
        <v>49</v>
      </c>
      <c r="C187" s="169"/>
      <c r="D187" s="169"/>
      <c r="E187" s="169"/>
      <c r="F187" s="55"/>
      <c r="G187" s="165" t="s">
        <v>570</v>
      </c>
      <c r="H187" s="165"/>
      <c r="I187" s="132"/>
      <c r="J187" s="138"/>
      <c r="K187" s="1271"/>
      <c r="L187" s="166"/>
      <c r="M187" s="1268"/>
      <c r="N187" s="166"/>
      <c r="O187" s="1255"/>
      <c r="P187" s="1255"/>
      <c r="Q187" s="55"/>
      <c r="R187" s="127"/>
      <c r="S187" s="127"/>
      <c r="T187" s="127"/>
      <c r="U187" s="127"/>
      <c r="V187" s="801"/>
      <c r="W187" s="1269"/>
      <c r="X187" s="801"/>
      <c r="Y187" s="127"/>
      <c r="Z187" s="127"/>
      <c r="AA187" s="127"/>
      <c r="AB187" s="127"/>
      <c r="AC187" s="1256"/>
      <c r="AD187" s="127"/>
      <c r="AE187" s="127"/>
      <c r="AF187" s="127"/>
      <c r="AG187" s="127"/>
      <c r="AH187" s="127"/>
      <c r="AI187" s="127"/>
      <c r="AJ187" s="127"/>
      <c r="AK187" s="127"/>
      <c r="AL187" s="1224"/>
      <c r="AM187" s="1227"/>
      <c r="AN187" s="1270"/>
      <c r="AO187" s="44"/>
      <c r="AP187" s="221"/>
      <c r="AQ187" s="8"/>
      <c r="AR187" s="8"/>
      <c r="AS187" s="8"/>
      <c r="AT187" s="8"/>
      <c r="AU187" s="8"/>
    </row>
    <row r="188" spans="1:66" ht="16.149999999999999" customHeight="1" x14ac:dyDescent="0.25">
      <c r="A188" s="533">
        <f t="shared" si="14"/>
        <v>183</v>
      </c>
      <c r="B188" s="81">
        <v>57</v>
      </c>
      <c r="C188" s="169"/>
      <c r="D188" s="169"/>
      <c r="E188" s="169"/>
      <c r="F188" s="55"/>
      <c r="G188" s="165" t="s">
        <v>568</v>
      </c>
      <c r="H188" s="165"/>
      <c r="I188" s="132"/>
      <c r="J188" s="138"/>
      <c r="K188" s="1271"/>
      <c r="L188" s="166"/>
      <c r="M188" s="1268"/>
      <c r="N188" s="166"/>
      <c r="O188" s="1255"/>
      <c r="P188" s="1255"/>
      <c r="Q188" s="55"/>
      <c r="R188" s="127"/>
      <c r="S188" s="127"/>
      <c r="T188" s="127"/>
      <c r="U188" s="127"/>
      <c r="V188" s="801"/>
      <c r="W188" s="1269"/>
      <c r="X188" s="801"/>
      <c r="Y188" s="127"/>
      <c r="Z188" s="127"/>
      <c r="AA188" s="127"/>
      <c r="AB188" s="127"/>
      <c r="AC188" s="1256"/>
      <c r="AD188" s="127"/>
      <c r="AE188" s="127"/>
      <c r="AF188" s="127"/>
      <c r="AG188" s="127"/>
      <c r="AH188" s="127"/>
      <c r="AI188" s="127"/>
      <c r="AJ188" s="127"/>
      <c r="AK188" s="127"/>
      <c r="AL188" s="1224"/>
      <c r="AM188" s="1227"/>
      <c r="AN188" s="1270"/>
      <c r="AO188" s="44"/>
      <c r="AP188" s="221"/>
      <c r="AQ188" s="8"/>
      <c r="AR188" s="8"/>
      <c r="AS188" s="8"/>
      <c r="AT188" s="8"/>
      <c r="AU188" s="8"/>
    </row>
    <row r="189" spans="1:66" ht="16.149999999999999" customHeight="1" x14ac:dyDescent="0.25">
      <c r="A189" s="533">
        <f t="shared" si="14"/>
        <v>184</v>
      </c>
      <c r="B189" s="81">
        <v>59</v>
      </c>
      <c r="C189" s="169"/>
      <c r="D189" s="169"/>
      <c r="E189" s="169"/>
      <c r="F189" s="55"/>
      <c r="G189" s="165" t="s">
        <v>567</v>
      </c>
      <c r="H189" s="165"/>
      <c r="I189" s="132"/>
      <c r="J189" s="138"/>
      <c r="K189" s="1271"/>
      <c r="L189" s="166"/>
      <c r="M189" s="1268"/>
      <c r="N189" s="166"/>
      <c r="O189" s="1255"/>
      <c r="P189" s="1255"/>
      <c r="Q189" s="55"/>
      <c r="R189" s="127"/>
      <c r="S189" s="127"/>
      <c r="T189" s="127"/>
      <c r="U189" s="127"/>
      <c r="V189" s="801"/>
      <c r="W189" s="1269"/>
      <c r="X189" s="801"/>
      <c r="Y189" s="127"/>
      <c r="Z189" s="127"/>
      <c r="AA189" s="127"/>
      <c r="AB189" s="127"/>
      <c r="AC189" s="1256"/>
      <c r="AD189" s="127"/>
      <c r="AE189" s="127"/>
      <c r="AF189" s="127"/>
      <c r="AG189" s="127"/>
      <c r="AH189" s="127"/>
      <c r="AI189" s="127"/>
      <c r="AJ189" s="127"/>
      <c r="AK189" s="127"/>
      <c r="AL189" s="1224"/>
      <c r="AM189" s="1227"/>
      <c r="AN189" s="1270"/>
      <c r="AO189" s="44"/>
      <c r="AP189" s="221"/>
      <c r="AQ189" s="8"/>
      <c r="AR189" s="8"/>
      <c r="AS189" s="8"/>
      <c r="AT189" s="8"/>
      <c r="AU189" s="8"/>
    </row>
    <row r="190" spans="1:66" ht="16.149999999999999" customHeight="1" x14ac:dyDescent="0.25">
      <c r="A190" s="533">
        <f t="shared" si="14"/>
        <v>185</v>
      </c>
      <c r="B190" s="81">
        <v>67</v>
      </c>
      <c r="C190" s="169"/>
      <c r="D190" s="169"/>
      <c r="E190" s="169"/>
      <c r="F190" s="55"/>
      <c r="G190" s="165" t="s">
        <v>565</v>
      </c>
      <c r="H190" s="165"/>
      <c r="I190" s="132"/>
      <c r="J190" s="138"/>
      <c r="K190" s="1271"/>
      <c r="L190" s="166"/>
      <c r="M190" s="1268"/>
      <c r="N190" s="166"/>
      <c r="O190" s="1255"/>
      <c r="P190" s="1255"/>
      <c r="Q190" s="55"/>
      <c r="R190" s="127"/>
      <c r="S190" s="127"/>
      <c r="T190" s="127"/>
      <c r="U190" s="127"/>
      <c r="V190" s="801"/>
      <c r="W190" s="1269"/>
      <c r="X190" s="801"/>
      <c r="Y190" s="127"/>
      <c r="Z190" s="127"/>
      <c r="AA190" s="127"/>
      <c r="AB190" s="127"/>
      <c r="AC190" s="1256"/>
      <c r="AD190" s="127"/>
      <c r="AE190" s="127"/>
      <c r="AF190" s="127"/>
      <c r="AG190" s="127"/>
      <c r="AH190" s="127"/>
      <c r="AI190" s="127"/>
      <c r="AJ190" s="127"/>
      <c r="AK190" s="127"/>
      <c r="AL190" s="1224"/>
      <c r="AM190" s="1227"/>
      <c r="AN190" s="1270"/>
      <c r="AO190" s="44"/>
      <c r="AP190" s="221"/>
      <c r="AQ190" s="8"/>
      <c r="AR190" s="8"/>
      <c r="AS190" s="8"/>
      <c r="AT190" s="8"/>
      <c r="AU190" s="8"/>
    </row>
    <row r="191" spans="1:66" ht="16.149999999999999" customHeight="1" x14ac:dyDescent="0.25">
      <c r="A191" s="533">
        <f t="shared" si="14"/>
        <v>186</v>
      </c>
      <c r="B191" s="81">
        <v>76</v>
      </c>
      <c r="C191" s="169"/>
      <c r="D191" s="169"/>
      <c r="E191" s="169"/>
      <c r="F191" s="55"/>
      <c r="G191" s="125" t="s">
        <v>562</v>
      </c>
      <c r="H191" s="125"/>
      <c r="I191" s="132"/>
      <c r="J191" s="138"/>
      <c r="K191" s="1271"/>
      <c r="L191" s="166"/>
      <c r="M191" s="1268"/>
      <c r="N191" s="166"/>
      <c r="O191" s="1255"/>
      <c r="P191" s="1255"/>
      <c r="Q191" s="55"/>
      <c r="R191" s="127"/>
      <c r="S191" s="127"/>
      <c r="T191" s="127"/>
      <c r="U191" s="127"/>
      <c r="V191" s="801"/>
      <c r="W191" s="1269"/>
      <c r="X191" s="801"/>
      <c r="Y191" s="127"/>
      <c r="Z191" s="127"/>
      <c r="AA191" s="127"/>
      <c r="AB191" s="127"/>
      <c r="AC191" s="1256"/>
      <c r="AD191" s="127"/>
      <c r="AE191" s="127"/>
      <c r="AF191" s="127"/>
      <c r="AG191" s="127"/>
      <c r="AH191" s="127"/>
      <c r="AI191" s="127"/>
      <c r="AJ191" s="127"/>
      <c r="AK191" s="127"/>
      <c r="AL191" s="1224"/>
      <c r="AM191" s="1227"/>
      <c r="AN191" s="1270"/>
      <c r="AO191" s="44"/>
      <c r="AP191" s="221"/>
      <c r="AQ191" s="8"/>
      <c r="AR191" s="8"/>
      <c r="AS191" s="8"/>
      <c r="AT191" s="8"/>
      <c r="AU191" s="8"/>
    </row>
    <row r="192" spans="1:66" ht="16.149999999999999" customHeight="1" x14ac:dyDescent="0.25">
      <c r="A192" s="533">
        <f t="shared" si="14"/>
        <v>187</v>
      </c>
      <c r="B192" s="81">
        <v>80</v>
      </c>
      <c r="C192" s="169"/>
      <c r="D192" s="169"/>
      <c r="E192" s="169"/>
      <c r="F192" s="55"/>
      <c r="G192" s="165" t="s">
        <v>560</v>
      </c>
      <c r="H192" s="165"/>
      <c r="I192" s="132"/>
      <c r="J192" s="138"/>
      <c r="K192" s="1271"/>
      <c r="L192" s="166"/>
      <c r="M192" s="1268"/>
      <c r="N192" s="166"/>
      <c r="O192" s="1255"/>
      <c r="P192" s="1255"/>
      <c r="Q192" s="55"/>
      <c r="R192" s="127"/>
      <c r="S192" s="127"/>
      <c r="T192" s="127"/>
      <c r="U192" s="127"/>
      <c r="V192" s="801"/>
      <c r="W192" s="1269"/>
      <c r="X192" s="801"/>
      <c r="Y192" s="127"/>
      <c r="Z192" s="127"/>
      <c r="AA192" s="127"/>
      <c r="AB192" s="127"/>
      <c r="AC192" s="1256"/>
      <c r="AD192" s="127"/>
      <c r="AE192" s="127"/>
      <c r="AF192" s="127"/>
      <c r="AG192" s="127"/>
      <c r="AH192" s="127"/>
      <c r="AI192" s="127"/>
      <c r="AJ192" s="127"/>
      <c r="AK192" s="127"/>
      <c r="AL192" s="1224"/>
      <c r="AM192" s="1227"/>
      <c r="AN192" s="1270"/>
      <c r="AO192" s="44"/>
      <c r="AP192" s="221"/>
      <c r="AQ192" s="8"/>
      <c r="AR192" s="8"/>
      <c r="AS192" s="8"/>
      <c r="AT192" s="8"/>
      <c r="AU192" s="8"/>
    </row>
    <row r="193" spans="1:66" ht="16.149999999999999" customHeight="1" x14ac:dyDescent="0.25">
      <c r="A193" s="533">
        <f t="shared" si="14"/>
        <v>188</v>
      </c>
      <c r="B193" s="81">
        <v>85</v>
      </c>
      <c r="C193" s="169"/>
      <c r="D193" s="169"/>
      <c r="E193" s="169"/>
      <c r="F193" s="55"/>
      <c r="G193" s="165" t="s">
        <v>558</v>
      </c>
      <c r="H193" s="165"/>
      <c r="I193" s="132"/>
      <c r="J193" s="138"/>
      <c r="K193" s="1271"/>
      <c r="L193" s="166"/>
      <c r="M193" s="1268"/>
      <c r="N193" s="166"/>
      <c r="O193" s="1255"/>
      <c r="P193" s="1255"/>
      <c r="Q193" s="55"/>
      <c r="R193" s="127"/>
      <c r="S193" s="127"/>
      <c r="T193" s="127"/>
      <c r="U193" s="127"/>
      <c r="V193" s="801"/>
      <c r="W193" s="1269"/>
      <c r="X193" s="801"/>
      <c r="Y193" s="127"/>
      <c r="Z193" s="127"/>
      <c r="AA193" s="127"/>
      <c r="AB193" s="127"/>
      <c r="AC193" s="1256"/>
      <c r="AD193" s="127"/>
      <c r="AE193" s="127"/>
      <c r="AF193" s="127"/>
      <c r="AG193" s="127"/>
      <c r="AH193" s="127"/>
      <c r="AI193" s="127"/>
      <c r="AJ193" s="127"/>
      <c r="AK193" s="127"/>
      <c r="AL193" s="1224"/>
      <c r="AM193" s="1227"/>
      <c r="AN193" s="1270"/>
      <c r="AO193" s="44"/>
      <c r="AP193" s="221"/>
      <c r="AQ193" s="8"/>
      <c r="AR193" s="8"/>
      <c r="AS193" s="8"/>
      <c r="AT193" s="8"/>
      <c r="AU193" s="8"/>
    </row>
    <row r="194" spans="1:66" ht="16.149999999999999" customHeight="1" x14ac:dyDescent="0.25">
      <c r="A194" s="533">
        <f t="shared" si="14"/>
        <v>189</v>
      </c>
      <c r="B194" s="81">
        <v>107</v>
      </c>
      <c r="C194" s="169"/>
      <c r="D194" s="169"/>
      <c r="E194" s="169"/>
      <c r="F194" s="55"/>
      <c r="G194" s="165" t="s">
        <v>555</v>
      </c>
      <c r="H194" s="165"/>
      <c r="I194" s="132"/>
      <c r="J194" s="138"/>
      <c r="K194" s="1271"/>
      <c r="L194" s="166"/>
      <c r="M194" s="1268"/>
      <c r="N194" s="166"/>
      <c r="O194" s="1255"/>
      <c r="P194" s="1255"/>
      <c r="Q194" s="55"/>
      <c r="R194" s="127"/>
      <c r="S194" s="127"/>
      <c r="T194" s="127"/>
      <c r="U194" s="127"/>
      <c r="V194" s="801"/>
      <c r="W194" s="1269"/>
      <c r="X194" s="801"/>
      <c r="Y194" s="127"/>
      <c r="Z194" s="127"/>
      <c r="AA194" s="127"/>
      <c r="AB194" s="127"/>
      <c r="AC194" s="1256"/>
      <c r="AD194" s="127"/>
      <c r="AE194" s="127"/>
      <c r="AF194" s="127"/>
      <c r="AG194" s="127"/>
      <c r="AH194" s="127"/>
      <c r="AI194" s="127"/>
      <c r="AJ194" s="127"/>
      <c r="AK194" s="127"/>
      <c r="AL194" s="1224"/>
      <c r="AM194" s="1227"/>
      <c r="AN194" s="1270"/>
      <c r="AO194" s="44"/>
      <c r="AP194" s="221"/>
      <c r="AQ194" s="8"/>
      <c r="AR194" s="8"/>
      <c r="AS194" s="8"/>
      <c r="AT194" s="8"/>
      <c r="AU194" s="8"/>
    </row>
    <row r="195" spans="1:66" ht="16.149999999999999" customHeight="1" x14ac:dyDescent="0.25">
      <c r="A195" s="533">
        <f t="shared" si="14"/>
        <v>190</v>
      </c>
      <c r="B195" s="81">
        <v>111</v>
      </c>
      <c r="C195" s="169"/>
      <c r="D195" s="169"/>
      <c r="E195" s="169"/>
      <c r="F195" s="55"/>
      <c r="G195" s="165" t="s">
        <v>554</v>
      </c>
      <c r="H195" s="165"/>
      <c r="I195" s="132"/>
      <c r="J195" s="138"/>
      <c r="K195" s="1271"/>
      <c r="L195" s="166"/>
      <c r="M195" s="1268"/>
      <c r="N195" s="166"/>
      <c r="O195" s="1255"/>
      <c r="P195" s="1255"/>
      <c r="Q195" s="55"/>
      <c r="R195" s="127"/>
      <c r="S195" s="127"/>
      <c r="T195" s="127"/>
      <c r="U195" s="127"/>
      <c r="V195" s="801"/>
      <c r="W195" s="1269"/>
      <c r="X195" s="801"/>
      <c r="Y195" s="127"/>
      <c r="Z195" s="127"/>
      <c r="AA195" s="127"/>
      <c r="AB195" s="127"/>
      <c r="AC195" s="1256"/>
      <c r="AD195" s="127"/>
      <c r="AE195" s="127"/>
      <c r="AF195" s="127"/>
      <c r="AG195" s="127"/>
      <c r="AH195" s="127"/>
      <c r="AI195" s="127"/>
      <c r="AJ195" s="127"/>
      <c r="AK195" s="127"/>
      <c r="AL195" s="1224"/>
      <c r="AM195" s="1227"/>
      <c r="AN195" s="1270"/>
      <c r="AO195" s="44"/>
      <c r="AP195" s="221"/>
      <c r="AQ195" s="8"/>
      <c r="AR195" s="8"/>
      <c r="AS195" s="8"/>
      <c r="AT195" s="8"/>
      <c r="AU195" s="8"/>
    </row>
    <row r="196" spans="1:66" s="108" customFormat="1" ht="16.149999999999999" customHeight="1" x14ac:dyDescent="0.25">
      <c r="A196" s="533">
        <f t="shared" si="14"/>
        <v>191</v>
      </c>
      <c r="B196" s="81">
        <v>120</v>
      </c>
      <c r="C196" s="169"/>
      <c r="D196" s="169"/>
      <c r="E196" s="169"/>
      <c r="F196" s="55"/>
      <c r="G196" s="165" t="s">
        <v>552</v>
      </c>
      <c r="H196" s="165"/>
      <c r="I196" s="132"/>
      <c r="J196" s="138"/>
      <c r="K196" s="1271"/>
      <c r="L196" s="166"/>
      <c r="M196" s="1268"/>
      <c r="N196" s="166"/>
      <c r="O196" s="1255"/>
      <c r="P196" s="1255"/>
      <c r="Q196" s="55"/>
      <c r="R196" s="127"/>
      <c r="S196" s="127"/>
      <c r="T196" s="127"/>
      <c r="U196" s="127"/>
      <c r="V196" s="801"/>
      <c r="W196" s="1269"/>
      <c r="X196" s="801"/>
      <c r="Y196" s="127"/>
      <c r="Z196" s="127"/>
      <c r="AA196" s="127"/>
      <c r="AB196" s="127"/>
      <c r="AC196" s="1256"/>
      <c r="AD196" s="127"/>
      <c r="AE196" s="127"/>
      <c r="AF196" s="127"/>
      <c r="AG196" s="127"/>
      <c r="AH196" s="127"/>
      <c r="AI196" s="127"/>
      <c r="AJ196" s="127"/>
      <c r="AK196" s="127"/>
      <c r="AL196" s="1224"/>
      <c r="AM196" s="1225"/>
      <c r="AN196" s="1270"/>
      <c r="AO196" s="44"/>
      <c r="AP196" s="221"/>
      <c r="AQ196" s="8"/>
      <c r="AR196" s="8"/>
      <c r="AS196" s="8"/>
      <c r="AT196" s="8"/>
      <c r="AU196" s="8"/>
      <c r="AV196" s="72"/>
      <c r="AW196" s="72"/>
      <c r="AX196" s="72"/>
      <c r="AY196" s="72"/>
      <c r="AZ196" s="72"/>
      <c r="BA196" s="72"/>
      <c r="BB196" s="72"/>
      <c r="BC196" s="72"/>
      <c r="BD196" s="72"/>
      <c r="BE196" s="72"/>
      <c r="BF196" s="72"/>
      <c r="BG196" s="72"/>
      <c r="BH196" s="72"/>
      <c r="BI196" s="72"/>
      <c r="BJ196" s="72"/>
      <c r="BK196" s="72"/>
      <c r="BL196" s="72"/>
      <c r="BM196" s="72"/>
      <c r="BN196" s="72"/>
    </row>
    <row r="197" spans="1:66" s="108" customFormat="1" ht="16.149999999999999" customHeight="1" x14ac:dyDescent="0.25">
      <c r="A197" s="533">
        <f t="shared" si="14"/>
        <v>192</v>
      </c>
      <c r="B197" s="81">
        <v>124</v>
      </c>
      <c r="C197" s="169"/>
      <c r="D197" s="169"/>
      <c r="E197" s="169"/>
      <c r="F197" s="55"/>
      <c r="G197" s="165" t="s">
        <v>32</v>
      </c>
      <c r="H197" s="165"/>
      <c r="I197" s="132"/>
      <c r="J197" s="138"/>
      <c r="K197" s="1271"/>
      <c r="L197" s="166"/>
      <c r="M197" s="1268"/>
      <c r="N197" s="166"/>
      <c r="O197" s="1255"/>
      <c r="P197" s="1255"/>
      <c r="Q197" s="55"/>
      <c r="R197" s="127"/>
      <c r="S197" s="127"/>
      <c r="T197" s="127"/>
      <c r="U197" s="127"/>
      <c r="V197" s="801"/>
      <c r="W197" s="1269"/>
      <c r="X197" s="801"/>
      <c r="Y197" s="127"/>
      <c r="Z197" s="127"/>
      <c r="AA197" s="127"/>
      <c r="AB197" s="127"/>
      <c r="AC197" s="1256"/>
      <c r="AD197" s="127"/>
      <c r="AE197" s="127"/>
      <c r="AF197" s="127"/>
      <c r="AG197" s="127"/>
      <c r="AH197" s="127"/>
      <c r="AI197" s="127"/>
      <c r="AJ197" s="127"/>
      <c r="AK197" s="127"/>
      <c r="AL197" s="1224"/>
      <c r="AM197" s="1227"/>
      <c r="AN197" s="1272"/>
      <c r="AO197" s="44"/>
      <c r="AP197" s="221"/>
      <c r="AQ197" s="8"/>
      <c r="AR197" s="8"/>
      <c r="AS197" s="8"/>
      <c r="AT197" s="8"/>
      <c r="AU197" s="8"/>
      <c r="AV197" s="72"/>
      <c r="AW197" s="72"/>
      <c r="AX197" s="72"/>
      <c r="AY197" s="72"/>
      <c r="AZ197" s="72"/>
      <c r="BA197" s="72"/>
      <c r="BB197" s="72"/>
      <c r="BC197" s="72"/>
      <c r="BD197" s="72"/>
      <c r="BE197" s="72"/>
      <c r="BF197" s="72"/>
      <c r="BG197" s="72"/>
      <c r="BH197" s="72"/>
      <c r="BI197" s="72"/>
      <c r="BJ197" s="72"/>
      <c r="BK197" s="72"/>
      <c r="BL197" s="72"/>
      <c r="BM197" s="72"/>
      <c r="BN197" s="72"/>
    </row>
    <row r="198" spans="1:66" s="108" customFormat="1" ht="16.149999999999999" customHeight="1" x14ac:dyDescent="0.25">
      <c r="A198" s="533">
        <f t="shared" si="14"/>
        <v>193</v>
      </c>
      <c r="B198" s="81">
        <v>127</v>
      </c>
      <c r="C198" s="169"/>
      <c r="D198" s="169"/>
      <c r="E198" s="169"/>
      <c r="F198" s="55"/>
      <c r="G198" s="165" t="s">
        <v>549</v>
      </c>
      <c r="H198" s="165"/>
      <c r="I198" s="132"/>
      <c r="J198" s="138"/>
      <c r="K198" s="1271"/>
      <c r="L198" s="166"/>
      <c r="M198" s="1268"/>
      <c r="N198" s="166"/>
      <c r="O198" s="1255"/>
      <c r="P198" s="1255"/>
      <c r="Q198" s="55"/>
      <c r="R198" s="127"/>
      <c r="S198" s="127"/>
      <c r="T198" s="127"/>
      <c r="U198" s="127"/>
      <c r="V198" s="801"/>
      <c r="W198" s="1269"/>
      <c r="X198" s="801"/>
      <c r="Y198" s="127"/>
      <c r="Z198" s="127"/>
      <c r="AA198" s="127"/>
      <c r="AB198" s="127"/>
      <c r="AC198" s="1256"/>
      <c r="AD198" s="127"/>
      <c r="AE198" s="127"/>
      <c r="AF198" s="127"/>
      <c r="AG198" s="127"/>
      <c r="AH198" s="127"/>
      <c r="AI198" s="127"/>
      <c r="AJ198" s="127"/>
      <c r="AK198" s="127"/>
      <c r="AL198" s="1224"/>
      <c r="AM198" s="1227"/>
      <c r="AN198" s="1270"/>
      <c r="AO198" s="44"/>
      <c r="AP198" s="221"/>
      <c r="AQ198" s="8"/>
      <c r="AR198" s="8"/>
      <c r="AS198" s="8"/>
      <c r="AT198" s="8"/>
      <c r="AU198" s="8"/>
      <c r="AV198" s="72"/>
      <c r="AW198" s="72"/>
      <c r="AX198" s="72"/>
      <c r="AY198" s="72"/>
      <c r="AZ198" s="72"/>
      <c r="BA198" s="72"/>
      <c r="BB198" s="72"/>
      <c r="BC198" s="72"/>
      <c r="BD198" s="72"/>
      <c r="BE198" s="72"/>
      <c r="BF198" s="72"/>
      <c r="BG198" s="72"/>
      <c r="BH198" s="72"/>
      <c r="BI198" s="72"/>
      <c r="BJ198" s="72"/>
      <c r="BK198" s="72"/>
      <c r="BL198" s="72"/>
      <c r="BM198" s="72"/>
      <c r="BN198" s="72"/>
    </row>
    <row r="199" spans="1:66" s="108" customFormat="1" ht="16.149999999999999" customHeight="1" x14ac:dyDescent="0.25">
      <c r="A199" s="533">
        <f t="shared" si="14"/>
        <v>194</v>
      </c>
      <c r="B199" s="81">
        <v>131</v>
      </c>
      <c r="C199" s="169"/>
      <c r="D199" s="169"/>
      <c r="E199" s="169"/>
      <c r="F199" s="55"/>
      <c r="G199" s="165" t="s">
        <v>546</v>
      </c>
      <c r="H199" s="165"/>
      <c r="I199" s="132"/>
      <c r="J199" s="138"/>
      <c r="K199" s="1271"/>
      <c r="L199" s="166"/>
      <c r="M199" s="1268"/>
      <c r="N199" s="166"/>
      <c r="O199" s="1255"/>
      <c r="P199" s="1255"/>
      <c r="Q199" s="55"/>
      <c r="R199" s="127"/>
      <c r="S199" s="127"/>
      <c r="T199" s="127"/>
      <c r="U199" s="127"/>
      <c r="V199" s="801"/>
      <c r="W199" s="1269"/>
      <c r="X199" s="801"/>
      <c r="Y199" s="127"/>
      <c r="Z199" s="127"/>
      <c r="AA199" s="127"/>
      <c r="AB199" s="127"/>
      <c r="AC199" s="1256"/>
      <c r="AD199" s="127"/>
      <c r="AE199" s="127"/>
      <c r="AF199" s="127"/>
      <c r="AG199" s="127"/>
      <c r="AH199" s="127"/>
      <c r="AI199" s="127"/>
      <c r="AJ199" s="127"/>
      <c r="AK199" s="127"/>
      <c r="AL199" s="1224"/>
      <c r="AM199" s="1225"/>
      <c r="AN199" s="1270"/>
      <c r="AO199" s="44"/>
      <c r="AP199" s="221"/>
      <c r="AQ199" s="8"/>
      <c r="AR199" s="8"/>
      <c r="AS199" s="8"/>
      <c r="AT199" s="8"/>
      <c r="AU199" s="8"/>
      <c r="AV199" s="72"/>
      <c r="AW199" s="72"/>
      <c r="AX199" s="72"/>
      <c r="AY199" s="72"/>
      <c r="AZ199" s="72"/>
      <c r="BA199" s="72"/>
      <c r="BB199" s="72"/>
      <c r="BC199" s="72"/>
      <c r="BD199" s="72"/>
      <c r="BE199" s="72"/>
      <c r="BF199" s="72"/>
      <c r="BG199" s="72"/>
      <c r="BH199" s="72"/>
      <c r="BI199" s="72"/>
      <c r="BJ199" s="72"/>
      <c r="BK199" s="72"/>
      <c r="BL199" s="72"/>
      <c r="BM199" s="72"/>
      <c r="BN199" s="72"/>
    </row>
    <row r="200" spans="1:66" s="108" customFormat="1" ht="16.149999999999999" customHeight="1" x14ac:dyDescent="0.25">
      <c r="A200" s="533">
        <f t="shared" ref="A200:A203" si="15">A199+1</f>
        <v>195</v>
      </c>
      <c r="B200" s="81">
        <v>149</v>
      </c>
      <c r="C200" s="169"/>
      <c r="D200" s="169"/>
      <c r="E200" s="169"/>
      <c r="F200" s="55"/>
      <c r="G200" s="165" t="s">
        <v>542</v>
      </c>
      <c r="H200" s="165"/>
      <c r="I200" s="132"/>
      <c r="J200" s="138"/>
      <c r="K200" s="1271"/>
      <c r="L200" s="166"/>
      <c r="M200" s="1268"/>
      <c r="N200" s="166"/>
      <c r="O200" s="1255"/>
      <c r="P200" s="1255"/>
      <c r="Q200" s="55"/>
      <c r="R200" s="127"/>
      <c r="S200" s="127"/>
      <c r="T200" s="127"/>
      <c r="U200" s="127"/>
      <c r="V200" s="801"/>
      <c r="W200" s="1269"/>
      <c r="X200" s="801"/>
      <c r="Y200" s="127"/>
      <c r="Z200" s="127"/>
      <c r="AA200" s="127"/>
      <c r="AB200" s="127"/>
      <c r="AC200" s="1256"/>
      <c r="AD200" s="127"/>
      <c r="AE200" s="127"/>
      <c r="AF200" s="127"/>
      <c r="AG200" s="127"/>
      <c r="AH200" s="127"/>
      <c r="AI200" s="127"/>
      <c r="AJ200" s="127"/>
      <c r="AK200" s="127"/>
      <c r="AL200" s="1224"/>
      <c r="AM200" s="1227"/>
      <c r="AN200" s="1272"/>
      <c r="AO200" s="44"/>
      <c r="AP200" s="221"/>
      <c r="AQ200" s="8"/>
      <c r="AR200" s="8"/>
      <c r="AS200" s="8"/>
      <c r="AT200" s="8"/>
      <c r="AU200" s="8"/>
      <c r="AV200" s="72"/>
      <c r="AW200" s="72"/>
      <c r="AX200" s="72"/>
      <c r="AY200" s="72"/>
      <c r="AZ200" s="72"/>
      <c r="BA200" s="72"/>
      <c r="BB200" s="72"/>
      <c r="BC200" s="72"/>
      <c r="BD200" s="72"/>
      <c r="BE200" s="72"/>
      <c r="BF200" s="72"/>
      <c r="BG200" s="72"/>
      <c r="BH200" s="72"/>
      <c r="BI200" s="72"/>
      <c r="BJ200" s="72"/>
      <c r="BK200" s="72"/>
      <c r="BL200" s="72"/>
      <c r="BM200" s="72"/>
      <c r="BN200" s="72"/>
    </row>
    <row r="201" spans="1:66" s="108" customFormat="1" ht="16.149999999999999" customHeight="1" x14ac:dyDescent="0.25">
      <c r="A201" s="533">
        <f t="shared" si="15"/>
        <v>196</v>
      </c>
      <c r="B201" s="81">
        <v>169</v>
      </c>
      <c r="C201" s="169"/>
      <c r="D201" s="169"/>
      <c r="E201" s="169"/>
      <c r="F201" s="55"/>
      <c r="G201" s="165" t="s">
        <v>537</v>
      </c>
      <c r="H201" s="165"/>
      <c r="I201" s="132"/>
      <c r="J201" s="138"/>
      <c r="K201" s="1271"/>
      <c r="L201" s="166"/>
      <c r="M201" s="1268"/>
      <c r="N201" s="166"/>
      <c r="O201" s="1255"/>
      <c r="P201" s="1255"/>
      <c r="Q201" s="55"/>
      <c r="R201" s="127"/>
      <c r="S201" s="127"/>
      <c r="T201" s="127"/>
      <c r="U201" s="127"/>
      <c r="V201" s="801"/>
      <c r="W201" s="1269"/>
      <c r="X201" s="801"/>
      <c r="Y201" s="127"/>
      <c r="Z201" s="127"/>
      <c r="AA201" s="127"/>
      <c r="AB201" s="127"/>
      <c r="AC201" s="1256"/>
      <c r="AD201" s="127"/>
      <c r="AE201" s="127"/>
      <c r="AF201" s="127"/>
      <c r="AG201" s="127"/>
      <c r="AH201" s="127"/>
      <c r="AI201" s="127"/>
      <c r="AJ201" s="127"/>
      <c r="AK201" s="127"/>
      <c r="AL201" s="1224"/>
      <c r="AM201" s="746"/>
      <c r="AN201" s="1270"/>
      <c r="AO201" s="44"/>
      <c r="AP201" s="221"/>
      <c r="AQ201" s="8"/>
      <c r="AR201" s="8"/>
      <c r="AS201" s="8"/>
      <c r="AT201" s="8"/>
      <c r="AU201" s="8"/>
      <c r="AV201" s="72"/>
      <c r="AW201" s="72"/>
      <c r="AX201" s="72"/>
      <c r="AY201" s="72"/>
      <c r="AZ201" s="72"/>
      <c r="BA201" s="72"/>
      <c r="BB201" s="72"/>
      <c r="BC201" s="72"/>
      <c r="BD201" s="72"/>
      <c r="BE201" s="72"/>
      <c r="BF201" s="72"/>
      <c r="BG201" s="72"/>
      <c r="BH201" s="72"/>
      <c r="BI201" s="72"/>
      <c r="BJ201" s="72"/>
      <c r="BK201" s="72"/>
      <c r="BL201" s="72"/>
      <c r="BM201" s="72"/>
      <c r="BN201" s="72"/>
    </row>
    <row r="202" spans="1:66" s="108" customFormat="1" ht="16.149999999999999" customHeight="1" x14ac:dyDescent="0.25">
      <c r="A202" s="533">
        <f t="shared" si="15"/>
        <v>197</v>
      </c>
      <c r="B202" s="81">
        <v>172</v>
      </c>
      <c r="C202" s="169"/>
      <c r="D202" s="169"/>
      <c r="E202" s="169"/>
      <c r="F202" s="55"/>
      <c r="G202" s="165" t="s">
        <v>536</v>
      </c>
      <c r="H202" s="165"/>
      <c r="I202" s="132"/>
      <c r="J202" s="138"/>
      <c r="K202" s="1271"/>
      <c r="L202" s="166"/>
      <c r="M202" s="1268"/>
      <c r="N202" s="166"/>
      <c r="O202" s="1255"/>
      <c r="P202" s="1255"/>
      <c r="Q202" s="55"/>
      <c r="R202" s="127"/>
      <c r="S202" s="127"/>
      <c r="T202" s="127"/>
      <c r="U202" s="127"/>
      <c r="V202" s="801"/>
      <c r="W202" s="1269"/>
      <c r="X202" s="801"/>
      <c r="Y202" s="127"/>
      <c r="Z202" s="127"/>
      <c r="AA202" s="127"/>
      <c r="AB202" s="127"/>
      <c r="AC202" s="1256"/>
      <c r="AD202" s="127"/>
      <c r="AE202" s="127"/>
      <c r="AF202" s="127"/>
      <c r="AG202" s="127"/>
      <c r="AH202" s="127"/>
      <c r="AI202" s="127"/>
      <c r="AJ202" s="127"/>
      <c r="AK202" s="127"/>
      <c r="AL202" s="1224"/>
      <c r="AM202" s="127"/>
      <c r="AN202" s="1272"/>
      <c r="AO202" s="44"/>
      <c r="AP202" s="221"/>
      <c r="AQ202" s="8"/>
      <c r="AR202" s="8"/>
      <c r="AS202" s="8"/>
      <c r="AT202" s="8"/>
      <c r="AU202" s="8"/>
      <c r="AV202" s="72"/>
      <c r="AW202" s="72"/>
      <c r="AX202" s="72"/>
      <c r="AY202" s="72"/>
      <c r="AZ202" s="72"/>
      <c r="BA202" s="72"/>
      <c r="BB202" s="72"/>
      <c r="BC202" s="72"/>
      <c r="BD202" s="72"/>
      <c r="BE202" s="72"/>
      <c r="BF202" s="72"/>
      <c r="BG202" s="72"/>
      <c r="BH202" s="72"/>
      <c r="BI202" s="72"/>
      <c r="BJ202" s="72"/>
      <c r="BK202" s="72"/>
      <c r="BL202" s="72"/>
      <c r="BM202" s="72"/>
      <c r="BN202" s="72"/>
    </row>
    <row r="203" spans="1:66" s="108" customFormat="1" ht="16.149999999999999" customHeight="1" x14ac:dyDescent="0.25">
      <c r="A203" s="533">
        <f t="shared" si="15"/>
        <v>198</v>
      </c>
      <c r="B203" s="81">
        <v>178</v>
      </c>
      <c r="C203" s="169"/>
      <c r="D203" s="169"/>
      <c r="E203" s="169"/>
      <c r="F203" s="55"/>
      <c r="G203" s="165" t="s">
        <v>26</v>
      </c>
      <c r="H203" s="165"/>
      <c r="I203" s="132"/>
      <c r="J203" s="138"/>
      <c r="K203" s="1271"/>
      <c r="L203" s="166"/>
      <c r="M203" s="1268"/>
      <c r="N203" s="166"/>
      <c r="O203" s="1255"/>
      <c r="P203" s="1255"/>
      <c r="Q203" s="55"/>
      <c r="R203" s="127"/>
      <c r="S203" s="127"/>
      <c r="T203" s="127"/>
      <c r="U203" s="127"/>
      <c r="V203" s="801"/>
      <c r="W203" s="1269"/>
      <c r="X203" s="801"/>
      <c r="Y203" s="127"/>
      <c r="Z203" s="127"/>
      <c r="AA203" s="127"/>
      <c r="AB203" s="127"/>
      <c r="AC203" s="1256"/>
      <c r="AD203" s="127"/>
      <c r="AE203" s="127"/>
      <c r="AF203" s="127"/>
      <c r="AG203" s="127"/>
      <c r="AH203" s="127"/>
      <c r="AI203" s="127"/>
      <c r="AJ203" s="127"/>
      <c r="AK203" s="127"/>
      <c r="AL203" s="1224"/>
      <c r="AM203" s="127"/>
      <c r="AN203" s="1270"/>
      <c r="AO203" s="44"/>
      <c r="AP203" s="221"/>
      <c r="AQ203" s="8"/>
      <c r="AR203" s="8"/>
      <c r="AS203" s="8"/>
      <c r="AT203" s="8"/>
      <c r="AU203" s="8"/>
      <c r="AV203" s="72"/>
      <c r="AW203" s="72"/>
      <c r="AX203" s="72"/>
      <c r="AY203" s="72"/>
      <c r="AZ203" s="72"/>
      <c r="BA203" s="72"/>
      <c r="BB203" s="72"/>
      <c r="BC203" s="72"/>
      <c r="BD203" s="72"/>
      <c r="BE203" s="72"/>
      <c r="BF203" s="72"/>
      <c r="BG203" s="72"/>
      <c r="BH203" s="72"/>
      <c r="BI203" s="72"/>
      <c r="BJ203" s="72"/>
      <c r="BK203" s="72"/>
      <c r="BL203" s="72"/>
      <c r="BM203" s="72"/>
      <c r="BN203" s="72"/>
    </row>
    <row r="204" spans="1:66" s="108" customFormat="1" ht="16.149999999999999" customHeight="1" x14ac:dyDescent="0.25">
      <c r="A204" s="60">
        <v>200</v>
      </c>
      <c r="B204" s="81">
        <v>190</v>
      </c>
      <c r="C204" s="801"/>
      <c r="D204" s="801"/>
      <c r="E204" s="801"/>
      <c r="F204" s="55"/>
      <c r="G204" s="165" t="s">
        <v>529</v>
      </c>
      <c r="H204" s="165"/>
      <c r="I204" s="132"/>
      <c r="J204" s="138"/>
      <c r="K204" s="1273"/>
      <c r="L204" s="1231"/>
      <c r="M204" s="1274"/>
      <c r="N204" s="1231"/>
      <c r="O204" s="1232"/>
      <c r="P204" s="1232"/>
      <c r="Q204" s="105"/>
      <c r="R204" s="1233"/>
      <c r="S204" s="1233"/>
      <c r="T204" s="1233"/>
      <c r="U204" s="1233"/>
      <c r="V204" s="174"/>
      <c r="W204" s="1275"/>
      <c r="X204" s="174"/>
      <c r="Y204" s="1233"/>
      <c r="Z204" s="1233"/>
      <c r="AA204" s="1233"/>
      <c r="AB204" s="1233"/>
      <c r="AC204" s="1234"/>
      <c r="AD204" s="1233"/>
      <c r="AE204" s="1233"/>
      <c r="AF204" s="1233"/>
      <c r="AG204" s="1233"/>
      <c r="AH204" s="1233"/>
      <c r="AI204" s="1233"/>
      <c r="AJ204" s="1233"/>
      <c r="AK204" s="1233"/>
      <c r="AL204" s="1233"/>
      <c r="AM204" s="1233"/>
      <c r="AN204" s="1276"/>
      <c r="AO204" s="72"/>
      <c r="AP204" s="221"/>
      <c r="AQ204" s="8"/>
      <c r="AR204" s="8"/>
      <c r="AS204" s="8"/>
      <c r="AT204" s="8"/>
      <c r="AU204" s="8"/>
      <c r="AV204" s="72"/>
      <c r="AW204" s="72"/>
      <c r="AX204" s="72"/>
      <c r="AY204" s="72"/>
      <c r="AZ204" s="72"/>
      <c r="BA204" s="72"/>
      <c r="BB204" s="72"/>
      <c r="BC204" s="72"/>
      <c r="BD204" s="72"/>
      <c r="BE204" s="72"/>
      <c r="BF204" s="72"/>
      <c r="BG204" s="72"/>
      <c r="BH204" s="72"/>
      <c r="BI204" s="72"/>
      <c r="BJ204" s="72"/>
      <c r="BK204" s="72"/>
      <c r="BL204" s="72"/>
      <c r="BM204" s="72"/>
      <c r="BN204" s="72"/>
    </row>
    <row r="205" spans="1:66" s="108" customFormat="1" ht="16.149999999999999" customHeight="1" x14ac:dyDescent="0.25">
      <c r="A205" s="1248"/>
      <c r="B205" s="1216"/>
      <c r="C205" s="1249"/>
      <c r="D205" s="1249"/>
      <c r="E205" s="1249"/>
      <c r="F205" s="101"/>
      <c r="G205" s="1250"/>
      <c r="H205" s="1250"/>
      <c r="I205" s="114"/>
      <c r="J205" s="114"/>
      <c r="K205" s="27"/>
      <c r="L205" s="27"/>
      <c r="M205" s="1251"/>
      <c r="N205" s="27"/>
      <c r="O205" s="1252"/>
      <c r="P205" s="1252"/>
      <c r="Q205" s="101"/>
      <c r="R205" s="1216"/>
      <c r="S205" s="1216"/>
      <c r="T205" s="1216"/>
      <c r="U205" s="1216"/>
      <c r="V205" s="1249"/>
      <c r="W205" s="1253"/>
      <c r="X205" s="1249"/>
      <c r="Y205" s="1216"/>
      <c r="Z205" s="1216"/>
      <c r="AA205" s="1216"/>
      <c r="AB205" s="1216"/>
      <c r="AC205" s="1254"/>
      <c r="AD205" s="1216"/>
      <c r="AE205" s="1216"/>
      <c r="AF205" s="1216"/>
      <c r="AG205" s="1216"/>
      <c r="AH205" s="1216"/>
      <c r="AI205" s="1216"/>
      <c r="AJ205" s="1216"/>
      <c r="AK205" s="1216"/>
      <c r="AL205" s="1216"/>
      <c r="AM205" s="1216"/>
      <c r="AN205" s="1217"/>
      <c r="AO205" s="72"/>
      <c r="AP205" s="118"/>
      <c r="AQ205" s="8"/>
      <c r="AR205" s="8"/>
      <c r="AS205" s="8"/>
      <c r="AT205" s="8"/>
      <c r="AU205" s="8"/>
      <c r="AV205" s="72"/>
      <c r="AW205" s="72"/>
      <c r="AX205" s="72"/>
      <c r="AY205" s="72"/>
      <c r="AZ205" s="72"/>
      <c r="BA205" s="72"/>
      <c r="BB205" s="72"/>
      <c r="BC205" s="72"/>
      <c r="BD205" s="72"/>
      <c r="BE205" s="72"/>
      <c r="BF205" s="72"/>
      <c r="BG205" s="72"/>
      <c r="BH205" s="72"/>
      <c r="BI205" s="72"/>
      <c r="BJ205" s="72"/>
      <c r="BK205" s="72"/>
      <c r="BL205" s="72"/>
      <c r="BM205" s="72"/>
      <c r="BN205" s="72"/>
    </row>
    <row r="206" spans="1:66" s="108" customFormat="1" ht="16.149999999999999" hidden="1" customHeight="1" x14ac:dyDescent="0.25">
      <c r="B206" s="108">
        <v>192</v>
      </c>
      <c r="C206" s="60"/>
      <c r="D206" s="60"/>
      <c r="E206" s="60"/>
      <c r="F206" s="65"/>
      <c r="G206" s="65"/>
      <c r="H206" s="6" t="s">
        <v>1294</v>
      </c>
      <c r="I206" s="111"/>
      <c r="J206" s="111"/>
      <c r="K206" s="121"/>
      <c r="L206" s="121"/>
      <c r="M206" s="124"/>
      <c r="N206" s="121"/>
      <c r="O206" s="123"/>
      <c r="P206" s="123"/>
      <c r="Q206" s="65"/>
      <c r="R206" s="2"/>
      <c r="S206" s="2"/>
      <c r="T206" s="2"/>
      <c r="U206" s="2"/>
      <c r="V206" s="60"/>
      <c r="W206" s="240"/>
      <c r="X206" s="60"/>
      <c r="Y206" s="2"/>
      <c r="Z206" s="2"/>
      <c r="AA206" s="2"/>
      <c r="AC206" s="107"/>
      <c r="AD206" s="2"/>
      <c r="AE206" s="2"/>
      <c r="AF206" s="2"/>
      <c r="AG206" s="2"/>
      <c r="AH206" s="2"/>
      <c r="AI206" s="42"/>
      <c r="AJ206" s="42"/>
      <c r="AK206" s="42"/>
      <c r="AL206" s="42"/>
      <c r="AM206" s="72"/>
      <c r="AN206" s="1206"/>
      <c r="AO206" s="72"/>
      <c r="AP206" s="221"/>
      <c r="AQ206" s="8"/>
      <c r="AR206" s="8"/>
      <c r="AS206" s="8"/>
      <c r="AT206" s="8"/>
      <c r="AU206" s="8"/>
      <c r="AV206" s="72"/>
      <c r="AW206" s="72"/>
      <c r="AX206" s="72"/>
      <c r="AY206" s="72"/>
      <c r="AZ206" s="72"/>
      <c r="BA206" s="72"/>
      <c r="BB206" s="72"/>
      <c r="BC206" s="72"/>
      <c r="BD206" s="72"/>
      <c r="BE206" s="72"/>
      <c r="BF206" s="72"/>
      <c r="BG206" s="72"/>
      <c r="BH206" s="72"/>
      <c r="BI206" s="72"/>
      <c r="BJ206" s="72"/>
      <c r="BK206" s="72"/>
      <c r="BL206" s="72"/>
      <c r="BM206" s="72"/>
      <c r="BN206" s="72"/>
    </row>
    <row r="207" spans="1:66" s="108" customFormat="1" ht="16.149999999999999" hidden="1" customHeight="1" x14ac:dyDescent="0.25">
      <c r="C207" s="60"/>
      <c r="D207" s="60"/>
      <c r="E207" s="60"/>
      <c r="F207" s="65"/>
      <c r="G207" s="911" t="s">
        <v>1289</v>
      </c>
      <c r="H207" s="1242" t="e">
        <f>AVERAGE(H6:H137)</f>
        <v>#DIV/0!</v>
      </c>
      <c r="I207" s="111"/>
      <c r="J207" s="111"/>
      <c r="K207" s="121"/>
      <c r="L207" s="121"/>
      <c r="M207" s="124"/>
      <c r="N207" s="121"/>
      <c r="O207" s="123"/>
      <c r="P207" s="123"/>
      <c r="Q207" s="65"/>
      <c r="R207" s="2"/>
      <c r="S207" s="2"/>
      <c r="T207" s="2"/>
      <c r="U207" s="2"/>
      <c r="V207" s="60"/>
      <c r="W207" s="240"/>
      <c r="X207" s="60"/>
      <c r="Y207" s="2"/>
      <c r="Z207" s="2"/>
      <c r="AA207" s="2"/>
      <c r="AC207" s="107"/>
      <c r="AD207" s="2"/>
      <c r="AE207" s="2"/>
      <c r="AF207" s="2"/>
      <c r="AG207" s="2"/>
      <c r="AH207" s="2"/>
      <c r="AI207" s="42"/>
      <c r="AJ207" s="42"/>
      <c r="AK207" s="42"/>
      <c r="AL207" s="42"/>
      <c r="AM207" s="72"/>
      <c r="AN207" s="1206"/>
      <c r="AO207" s="72"/>
      <c r="AP207" s="118"/>
      <c r="AQ207" s="8"/>
      <c r="AR207" s="8"/>
      <c r="AS207" s="8"/>
      <c r="AT207" s="8"/>
      <c r="AU207" s="8"/>
      <c r="AV207" s="72"/>
      <c r="AW207" s="72"/>
      <c r="AX207" s="72"/>
      <c r="AY207" s="72"/>
      <c r="AZ207" s="72"/>
      <c r="BA207" s="72"/>
      <c r="BB207" s="72"/>
      <c r="BC207" s="72"/>
      <c r="BD207" s="72"/>
      <c r="BE207" s="72"/>
      <c r="BF207" s="72"/>
      <c r="BG207" s="72"/>
      <c r="BH207" s="72"/>
      <c r="BI207" s="72"/>
      <c r="BJ207" s="72"/>
      <c r="BK207" s="72"/>
      <c r="BL207" s="72"/>
      <c r="BM207" s="72"/>
      <c r="BN207" s="72"/>
    </row>
    <row r="208" spans="1:66" s="108" customFormat="1" ht="16.149999999999999" hidden="1" customHeight="1" x14ac:dyDescent="0.25">
      <c r="C208" s="60"/>
      <c r="D208" s="60"/>
      <c r="E208" s="60"/>
      <c r="F208" s="65"/>
      <c r="G208" s="1243" t="s">
        <v>1290</v>
      </c>
      <c r="H208" s="1242" t="e">
        <f>MEDIAN(H6:H137)</f>
        <v>#NUM!</v>
      </c>
      <c r="I208" s="111"/>
      <c r="J208" s="111"/>
      <c r="K208" s="121"/>
      <c r="L208" s="121"/>
      <c r="M208" s="124"/>
      <c r="N208" s="121"/>
      <c r="O208" s="123"/>
      <c r="P208" s="123"/>
      <c r="Q208" s="65"/>
      <c r="R208" s="2"/>
      <c r="S208" s="2"/>
      <c r="T208" s="2"/>
      <c r="U208" s="2"/>
      <c r="V208" s="60"/>
      <c r="W208" s="240"/>
      <c r="X208" s="60"/>
      <c r="Y208" s="2"/>
      <c r="Z208" s="2"/>
      <c r="AA208" s="2"/>
      <c r="AC208" s="107"/>
      <c r="AD208" s="2"/>
      <c r="AE208" s="2"/>
      <c r="AF208" s="2"/>
      <c r="AG208" s="2"/>
      <c r="AH208" s="2"/>
      <c r="AI208" s="42"/>
      <c r="AJ208" s="42"/>
      <c r="AK208" s="42"/>
      <c r="AL208" s="72"/>
      <c r="AM208" s="72"/>
      <c r="AN208" s="1206"/>
      <c r="AO208" s="72"/>
      <c r="AP208" s="118"/>
      <c r="AQ208" s="8"/>
      <c r="AR208" s="8"/>
      <c r="AS208" s="8"/>
      <c r="AT208" s="8"/>
      <c r="AU208" s="8"/>
      <c r="AV208" s="72"/>
      <c r="AW208" s="72"/>
      <c r="AX208" s="72"/>
      <c r="AY208" s="72"/>
      <c r="AZ208" s="72"/>
      <c r="BA208" s="72"/>
      <c r="BB208" s="72"/>
      <c r="BC208" s="72"/>
      <c r="BD208" s="72"/>
      <c r="BE208" s="72"/>
      <c r="BF208" s="72"/>
      <c r="BG208" s="72"/>
      <c r="BH208" s="72"/>
      <c r="BI208" s="72"/>
      <c r="BJ208" s="72"/>
      <c r="BK208" s="72"/>
      <c r="BL208" s="72"/>
      <c r="BM208" s="72"/>
      <c r="BN208" s="72"/>
    </row>
    <row r="209" spans="3:66" s="108" customFormat="1" ht="16.149999999999999" hidden="1" customHeight="1" x14ac:dyDescent="0.25">
      <c r="C209" s="60"/>
      <c r="D209" s="60"/>
      <c r="E209" s="60"/>
      <c r="F209" s="65"/>
      <c r="G209" s="2"/>
      <c r="H209" s="1242">
        <f>MAX(H6:H137)</f>
        <v>0</v>
      </c>
      <c r="I209" s="111"/>
      <c r="J209" s="111"/>
      <c r="K209" s="121"/>
      <c r="L209" s="121"/>
      <c r="M209" s="124"/>
      <c r="N209" s="121"/>
      <c r="O209" s="123"/>
      <c r="P209" s="123"/>
      <c r="Q209" s="65"/>
      <c r="R209" s="2"/>
      <c r="S209" s="2"/>
      <c r="T209" s="2"/>
      <c r="U209" s="2"/>
      <c r="V209" s="60"/>
      <c r="W209" s="240"/>
      <c r="X209" s="60"/>
      <c r="Y209" s="2"/>
      <c r="Z209" s="2"/>
      <c r="AA209" s="2"/>
      <c r="AC209" s="107"/>
      <c r="AD209" s="2"/>
      <c r="AE209" s="2"/>
      <c r="AF209" s="2"/>
      <c r="AG209" s="2"/>
      <c r="AH209" s="2"/>
      <c r="AI209" s="42"/>
      <c r="AJ209" s="42"/>
      <c r="AK209" s="42"/>
      <c r="AL209" s="72"/>
      <c r="AM209" s="72"/>
      <c r="AN209" s="1206"/>
      <c r="AO209" s="72"/>
      <c r="AP209" s="118"/>
      <c r="AQ209" s="8"/>
      <c r="AR209" s="8"/>
      <c r="AS209" s="8"/>
      <c r="AT209" s="8"/>
      <c r="AU209" s="8"/>
      <c r="AV209" s="72"/>
      <c r="AW209" s="72"/>
      <c r="AX209" s="72"/>
      <c r="AY209" s="72"/>
      <c r="AZ209" s="72"/>
      <c r="BA209" s="72"/>
      <c r="BB209" s="72"/>
      <c r="BC209" s="72"/>
      <c r="BD209" s="72"/>
      <c r="BE209" s="72"/>
      <c r="BF209" s="72"/>
      <c r="BG209" s="72"/>
      <c r="BH209" s="72"/>
      <c r="BI209" s="72"/>
      <c r="BJ209" s="72"/>
      <c r="BK209" s="72"/>
      <c r="BL209" s="72"/>
      <c r="BM209" s="72"/>
      <c r="BN209" s="72"/>
    </row>
    <row r="210" spans="3:66" s="108" customFormat="1" ht="16.149999999999999" hidden="1" customHeight="1" x14ac:dyDescent="0.25">
      <c r="C210" s="60"/>
      <c r="D210" s="60"/>
      <c r="E210" s="60"/>
      <c r="F210" s="65"/>
      <c r="G210" s="2"/>
      <c r="H210" s="1242">
        <f>MIN(H6:H137)</f>
        <v>0</v>
      </c>
      <c r="I210" s="111"/>
      <c r="J210" s="111"/>
      <c r="K210" s="121"/>
      <c r="L210" s="121"/>
      <c r="M210" s="124"/>
      <c r="N210" s="121"/>
      <c r="O210" s="123"/>
      <c r="P210" s="123"/>
      <c r="Q210" s="65"/>
      <c r="R210" s="2"/>
      <c r="S210" s="2"/>
      <c r="T210" s="2"/>
      <c r="U210" s="2"/>
      <c r="V210" s="60"/>
      <c r="W210" s="240"/>
      <c r="X210" s="60"/>
      <c r="Y210" s="2"/>
      <c r="Z210" s="2"/>
      <c r="AA210" s="2"/>
      <c r="AC210" s="107"/>
      <c r="AD210" s="2"/>
      <c r="AE210" s="2"/>
      <c r="AF210" s="2"/>
      <c r="AG210" s="2"/>
      <c r="AH210" s="2"/>
      <c r="AI210" s="42"/>
      <c r="AJ210" s="42"/>
      <c r="AK210" s="42"/>
      <c r="AL210" s="72"/>
      <c r="AM210" s="72"/>
      <c r="AN210" s="1206"/>
      <c r="AO210" s="72"/>
      <c r="AP210" s="118"/>
      <c r="AQ210" s="1047"/>
      <c r="AR210" s="1047"/>
      <c r="AS210" s="8"/>
      <c r="AT210" s="8"/>
      <c r="AU210" s="8"/>
      <c r="AV210" s="72"/>
      <c r="AW210" s="72"/>
      <c r="AX210" s="72"/>
      <c r="AY210" s="72"/>
      <c r="AZ210" s="72"/>
      <c r="BA210" s="72"/>
      <c r="BB210" s="72"/>
      <c r="BC210" s="72"/>
      <c r="BD210" s="72"/>
      <c r="BE210" s="72"/>
      <c r="BF210" s="72"/>
      <c r="BG210" s="72"/>
      <c r="BH210" s="72"/>
      <c r="BI210" s="72"/>
      <c r="BJ210" s="72"/>
      <c r="BK210" s="72"/>
      <c r="BL210" s="72"/>
      <c r="BM210" s="72"/>
      <c r="BN210" s="72"/>
    </row>
    <row r="211" spans="3:66" s="108" customFormat="1" ht="16.149999999999999" hidden="1" customHeight="1" x14ac:dyDescent="0.25">
      <c r="C211" s="60"/>
      <c r="D211" s="60"/>
      <c r="E211" s="60"/>
      <c r="F211" s="65"/>
      <c r="G211" s="2"/>
      <c r="H211" s="1242">
        <f>H209-H210</f>
        <v>0</v>
      </c>
      <c r="I211" s="111"/>
      <c r="J211" s="111"/>
      <c r="K211" s="121"/>
      <c r="L211" s="121"/>
      <c r="M211" s="124"/>
      <c r="N211" s="121"/>
      <c r="O211" s="123"/>
      <c r="P211" s="123"/>
      <c r="Q211" s="65"/>
      <c r="R211" s="2"/>
      <c r="S211" s="2"/>
      <c r="T211" s="2"/>
      <c r="U211" s="2"/>
      <c r="V211" s="60"/>
      <c r="W211" s="240"/>
      <c r="X211" s="60"/>
      <c r="Y211" s="2"/>
      <c r="Z211" s="2"/>
      <c r="AA211" s="2"/>
      <c r="AC211" s="107"/>
      <c r="AD211" s="2"/>
      <c r="AE211" s="2"/>
      <c r="AF211" s="2"/>
      <c r="AG211" s="2"/>
      <c r="AH211" s="2"/>
      <c r="AI211" s="42"/>
      <c r="AJ211" s="42"/>
      <c r="AK211" s="42"/>
      <c r="AL211" s="42"/>
      <c r="AM211" s="72"/>
      <c r="AN211" s="1206"/>
      <c r="AO211" s="72"/>
      <c r="AP211" s="118"/>
      <c r="AQ211" s="1047"/>
      <c r="AR211" s="1047"/>
      <c r="AS211" s="8"/>
      <c r="AT211" s="8"/>
      <c r="AU211" s="8"/>
      <c r="AV211" s="72"/>
      <c r="AW211" s="72"/>
      <c r="AX211" s="72"/>
      <c r="AY211" s="72"/>
      <c r="AZ211" s="72"/>
      <c r="BA211" s="72"/>
      <c r="BB211" s="72"/>
      <c r="BC211" s="72"/>
      <c r="BD211" s="72"/>
      <c r="BE211" s="72"/>
      <c r="BF211" s="72"/>
      <c r="BG211" s="72"/>
      <c r="BH211" s="72"/>
      <c r="BI211" s="72"/>
      <c r="BJ211" s="72"/>
      <c r="BK211" s="72"/>
      <c r="BL211" s="72"/>
      <c r="BM211" s="72"/>
      <c r="BN211" s="72"/>
    </row>
    <row r="212" spans="3:66" s="108" customFormat="1" ht="16.149999999999999" customHeight="1" x14ac:dyDescent="0.25">
      <c r="C212" s="60"/>
      <c r="D212" s="60"/>
      <c r="E212" s="60"/>
      <c r="F212" s="65"/>
      <c r="G212" s="65"/>
      <c r="H212" s="65"/>
      <c r="I212" s="111"/>
      <c r="J212" s="111"/>
      <c r="K212" s="121"/>
      <c r="L212" s="121"/>
      <c r="M212" s="124"/>
      <c r="N212" s="121"/>
      <c r="O212" s="123"/>
      <c r="P212" s="123"/>
      <c r="Q212" s="65"/>
      <c r="R212" s="2"/>
      <c r="S212" s="2"/>
      <c r="T212" s="2"/>
      <c r="U212" s="2"/>
      <c r="V212" s="60"/>
      <c r="W212" s="240"/>
      <c r="X212" s="60"/>
      <c r="Y212" s="2"/>
      <c r="Z212" s="2"/>
      <c r="AA212" s="2"/>
      <c r="AC212" s="107"/>
      <c r="AD212" s="2"/>
      <c r="AE212" s="2"/>
      <c r="AF212" s="2"/>
      <c r="AG212" s="2"/>
      <c r="AH212" s="2"/>
      <c r="AI212" s="42"/>
      <c r="AJ212" s="42"/>
      <c r="AK212" s="42"/>
      <c r="AL212" s="42"/>
      <c r="AM212" s="72"/>
      <c r="AN212" s="1206"/>
      <c r="AO212" s="72"/>
      <c r="AP212" s="118"/>
      <c r="AQ212" s="1047"/>
      <c r="AR212" s="1047"/>
      <c r="AS212" s="8"/>
      <c r="AT212" s="8"/>
      <c r="AU212" s="8"/>
      <c r="AV212" s="72"/>
      <c r="AW212" s="72"/>
      <c r="AX212" s="72"/>
      <c r="AY212" s="72"/>
      <c r="AZ212" s="72"/>
      <c r="BA212" s="72"/>
      <c r="BB212" s="72"/>
      <c r="BC212" s="72"/>
      <c r="BD212" s="72"/>
      <c r="BE212" s="72"/>
      <c r="BF212" s="72"/>
      <c r="BG212" s="72"/>
      <c r="BH212" s="72"/>
      <c r="BI212" s="72"/>
      <c r="BJ212" s="72"/>
      <c r="BK212" s="72"/>
      <c r="BL212" s="72"/>
      <c r="BM212" s="72"/>
      <c r="BN212" s="72"/>
    </row>
    <row r="213" spans="3:66" s="108" customFormat="1" ht="16.149999999999999" customHeight="1" x14ac:dyDescent="0.25">
      <c r="C213" s="60"/>
      <c r="D213" s="60"/>
      <c r="E213" s="60"/>
      <c r="F213" s="65"/>
      <c r="G213" s="65"/>
      <c r="H213" s="65"/>
      <c r="I213" s="111"/>
      <c r="J213" s="111"/>
      <c r="K213" s="121"/>
      <c r="L213" s="121"/>
      <c r="M213" s="124"/>
      <c r="N213" s="121"/>
      <c r="O213" s="123"/>
      <c r="P213" s="123"/>
      <c r="Q213" s="65"/>
      <c r="R213" s="2"/>
      <c r="S213" s="2"/>
      <c r="T213" s="2"/>
      <c r="U213" s="2"/>
      <c r="V213" s="60"/>
      <c r="W213" s="240"/>
      <c r="X213" s="60"/>
      <c r="Y213" s="2"/>
      <c r="Z213" s="2"/>
      <c r="AA213" s="2"/>
      <c r="AC213" s="107"/>
      <c r="AD213" s="2"/>
      <c r="AE213" s="2"/>
      <c r="AF213" s="2"/>
      <c r="AG213" s="2"/>
      <c r="AH213" s="2"/>
      <c r="AI213" s="42"/>
      <c r="AJ213" s="42"/>
      <c r="AK213" s="42"/>
      <c r="AL213" s="42"/>
      <c r="AM213" s="72"/>
      <c r="AN213" s="1206"/>
      <c r="AO213" s="72"/>
      <c r="AP213" s="118"/>
      <c r="AQ213" s="1047"/>
      <c r="AR213" s="1047"/>
      <c r="AS213" s="8"/>
      <c r="AT213" s="8"/>
      <c r="AU213" s="8"/>
      <c r="AV213" s="72"/>
      <c r="AW213" s="72"/>
      <c r="AX213" s="72"/>
      <c r="AY213" s="72"/>
      <c r="AZ213" s="72"/>
      <c r="BA213" s="72"/>
      <c r="BB213" s="72"/>
      <c r="BC213" s="72"/>
      <c r="BD213" s="72"/>
      <c r="BE213" s="72"/>
      <c r="BF213" s="72"/>
      <c r="BG213" s="72"/>
      <c r="BH213" s="72"/>
      <c r="BI213" s="72"/>
      <c r="BJ213" s="72"/>
      <c r="BK213" s="72"/>
      <c r="BL213" s="72"/>
      <c r="BM213" s="72"/>
      <c r="BN213" s="72"/>
    </row>
    <row r="214" spans="3:66" s="108" customFormat="1" ht="16.149999999999999" customHeight="1" x14ac:dyDescent="0.25">
      <c r="C214" s="60"/>
      <c r="D214" s="60"/>
      <c r="E214" s="60"/>
      <c r="F214" s="65"/>
      <c r="G214" s="65"/>
      <c r="H214" s="65"/>
      <c r="I214" s="111"/>
      <c r="J214" s="111"/>
      <c r="K214" s="121"/>
      <c r="L214" s="121"/>
      <c r="M214" s="124"/>
      <c r="N214" s="121"/>
      <c r="O214" s="123"/>
      <c r="P214" s="123"/>
      <c r="Q214" s="65"/>
      <c r="R214" s="2"/>
      <c r="S214" s="2"/>
      <c r="T214" s="2"/>
      <c r="U214" s="2"/>
      <c r="V214" s="60"/>
      <c r="W214" s="240"/>
      <c r="X214" s="60"/>
      <c r="Y214" s="2"/>
      <c r="Z214" s="2"/>
      <c r="AA214" s="2"/>
      <c r="AC214" s="107"/>
      <c r="AD214" s="2"/>
      <c r="AE214" s="2"/>
      <c r="AF214" s="2"/>
      <c r="AG214" s="2"/>
      <c r="AH214" s="2"/>
      <c r="AI214" s="42"/>
      <c r="AJ214" s="42"/>
      <c r="AK214" s="42"/>
      <c r="AL214" s="42"/>
      <c r="AM214" s="72"/>
      <c r="AN214" s="1206"/>
      <c r="AO214" s="72"/>
      <c r="AP214" s="118"/>
      <c r="AQ214" s="1047"/>
      <c r="AR214" s="1047"/>
      <c r="AS214" s="8"/>
      <c r="AT214" s="8"/>
      <c r="AU214" s="8"/>
      <c r="AV214" s="72"/>
      <c r="AW214" s="72"/>
      <c r="AX214" s="72"/>
      <c r="AY214" s="72"/>
      <c r="AZ214" s="72"/>
      <c r="BA214" s="72"/>
      <c r="BB214" s="72"/>
      <c r="BC214" s="72"/>
      <c r="BD214" s="72"/>
      <c r="BE214" s="72"/>
      <c r="BF214" s="72"/>
      <c r="BG214" s="72"/>
      <c r="BH214" s="72"/>
      <c r="BI214" s="72"/>
      <c r="BJ214" s="72"/>
      <c r="BK214" s="72"/>
      <c r="BL214" s="72"/>
      <c r="BM214" s="72"/>
      <c r="BN214" s="72"/>
    </row>
    <row r="215" spans="3:66" s="42" customFormat="1" ht="16.149999999999999" customHeight="1" x14ac:dyDescent="0.25">
      <c r="C215" s="60"/>
      <c r="D215" s="60"/>
      <c r="E215" s="60"/>
      <c r="F215" s="56"/>
      <c r="G215" s="65"/>
      <c r="H215" s="65"/>
      <c r="I215" s="111"/>
      <c r="J215" s="111"/>
      <c r="K215" s="121"/>
      <c r="L215" s="121"/>
      <c r="M215" s="124"/>
      <c r="N215" s="121"/>
      <c r="O215" s="123"/>
      <c r="P215" s="123"/>
      <c r="Q215" s="65"/>
      <c r="R215" s="2"/>
      <c r="S215" s="2"/>
      <c r="T215" s="2"/>
      <c r="U215" s="2"/>
      <c r="V215" s="60"/>
      <c r="W215" s="240"/>
      <c r="X215" s="60"/>
      <c r="Y215" s="2"/>
      <c r="Z215" s="2"/>
      <c r="AA215" s="2"/>
      <c r="AC215" s="107"/>
      <c r="AD215" s="2"/>
      <c r="AE215" s="2"/>
      <c r="AF215" s="2"/>
      <c r="AG215" s="2"/>
      <c r="AH215" s="2"/>
      <c r="AM215" s="72"/>
      <c r="AN215" s="1206"/>
      <c r="AO215" s="72"/>
      <c r="AP215" s="118"/>
      <c r="AQ215" s="1047"/>
      <c r="AR215" s="1047"/>
      <c r="AS215" s="8"/>
      <c r="AT215" s="8"/>
      <c r="AU215" s="8"/>
      <c r="AV215" s="72"/>
      <c r="AW215" s="72"/>
      <c r="AX215" s="72"/>
      <c r="AY215" s="72"/>
      <c r="AZ215" s="72"/>
      <c r="BA215" s="72"/>
      <c r="BB215" s="72"/>
      <c r="BC215" s="72"/>
      <c r="BD215" s="72"/>
      <c r="BE215" s="72"/>
      <c r="BF215" s="72"/>
      <c r="BG215" s="72"/>
      <c r="BH215" s="72"/>
      <c r="BI215" s="72"/>
      <c r="BJ215" s="72"/>
      <c r="BK215" s="72"/>
      <c r="BL215" s="72"/>
      <c r="BM215" s="72"/>
      <c r="BN215" s="72"/>
    </row>
    <row r="216" spans="3:66" s="42" customFormat="1" ht="16.149999999999999" customHeight="1" x14ac:dyDescent="0.25">
      <c r="C216" s="60"/>
      <c r="D216" s="60"/>
      <c r="E216" s="60"/>
      <c r="F216" s="56"/>
      <c r="G216" s="65"/>
      <c r="H216" s="65"/>
      <c r="I216" s="111"/>
      <c r="J216" s="111"/>
      <c r="K216" s="121"/>
      <c r="L216" s="121"/>
      <c r="M216" s="124"/>
      <c r="N216" s="121"/>
      <c r="O216" s="123"/>
      <c r="P216" s="123"/>
      <c r="Q216" s="65"/>
      <c r="R216" s="2"/>
      <c r="S216" s="2"/>
      <c r="T216" s="2"/>
      <c r="U216" s="2"/>
      <c r="V216" s="60"/>
      <c r="W216" s="240"/>
      <c r="X216" s="60"/>
      <c r="Y216" s="2"/>
      <c r="Z216" s="2"/>
      <c r="AA216" s="2"/>
      <c r="AC216" s="107"/>
      <c r="AD216" s="2"/>
      <c r="AE216" s="2"/>
      <c r="AF216" s="2"/>
      <c r="AG216" s="2"/>
      <c r="AH216" s="2"/>
      <c r="AM216" s="72"/>
      <c r="AN216" s="1206"/>
      <c r="AO216" s="72"/>
      <c r="AP216" s="118"/>
      <c r="AQ216" s="1047"/>
      <c r="AR216" s="1047"/>
      <c r="AS216" s="8"/>
      <c r="AT216" s="8"/>
      <c r="AU216" s="8"/>
      <c r="AV216" s="72"/>
      <c r="AW216" s="72"/>
      <c r="AX216" s="72"/>
      <c r="AY216" s="72"/>
      <c r="AZ216" s="72"/>
      <c r="BA216" s="72"/>
      <c r="BB216" s="72"/>
      <c r="BC216" s="72"/>
      <c r="BD216" s="72"/>
      <c r="BE216" s="72"/>
      <c r="BF216" s="72"/>
      <c r="BG216" s="72"/>
      <c r="BH216" s="72"/>
      <c r="BI216" s="72"/>
      <c r="BJ216" s="72"/>
      <c r="BK216" s="72"/>
      <c r="BL216" s="72"/>
      <c r="BM216" s="72"/>
      <c r="BN216" s="72"/>
    </row>
    <row r="217" spans="3:66" s="42" customFormat="1" ht="16.149999999999999" customHeight="1" x14ac:dyDescent="0.25">
      <c r="C217" s="60"/>
      <c r="D217" s="60"/>
      <c r="E217" s="60"/>
      <c r="F217" s="56"/>
      <c r="G217" s="65"/>
      <c r="H217" s="65"/>
      <c r="I217" s="111"/>
      <c r="J217" s="111"/>
      <c r="K217" s="121"/>
      <c r="L217" s="121"/>
      <c r="M217" s="124"/>
      <c r="N217" s="121"/>
      <c r="O217" s="123"/>
      <c r="P217" s="123"/>
      <c r="Q217" s="65"/>
      <c r="R217" s="2"/>
      <c r="S217" s="2"/>
      <c r="T217" s="2"/>
      <c r="U217" s="2"/>
      <c r="V217" s="60"/>
      <c r="W217" s="240"/>
      <c r="X217" s="60"/>
      <c r="Y217" s="2"/>
      <c r="Z217" s="2"/>
      <c r="AA217" s="2"/>
      <c r="AC217" s="107"/>
      <c r="AD217" s="2"/>
      <c r="AE217" s="2"/>
      <c r="AF217" s="2"/>
      <c r="AG217" s="2"/>
      <c r="AH217" s="2"/>
      <c r="AM217" s="72"/>
      <c r="AN217" s="1206"/>
      <c r="AO217" s="72"/>
      <c r="AP217" s="118"/>
      <c r="AQ217" s="1047"/>
      <c r="AR217" s="1047"/>
      <c r="AS217" s="8"/>
      <c r="AT217" s="8"/>
      <c r="AU217" s="8"/>
      <c r="AV217" s="72"/>
      <c r="AW217" s="72"/>
      <c r="AX217" s="72"/>
      <c r="AY217" s="72"/>
      <c r="AZ217" s="72"/>
      <c r="BA217" s="72"/>
      <c r="BB217" s="72"/>
      <c r="BC217" s="72"/>
      <c r="BD217" s="72"/>
      <c r="BE217" s="72"/>
      <c r="BF217" s="72"/>
      <c r="BG217" s="72"/>
      <c r="BH217" s="72"/>
      <c r="BI217" s="72"/>
      <c r="BJ217" s="72"/>
      <c r="BK217" s="72"/>
      <c r="BL217" s="72"/>
      <c r="BM217" s="72"/>
      <c r="BN217" s="72"/>
    </row>
    <row r="218" spans="3:66" s="42" customFormat="1" ht="16.149999999999999" customHeight="1" x14ac:dyDescent="0.25">
      <c r="C218" s="60"/>
      <c r="D218" s="60"/>
      <c r="E218" s="60"/>
      <c r="F218" s="56"/>
      <c r="G218" s="65"/>
      <c r="H218" s="65"/>
      <c r="I218" s="111"/>
      <c r="J218" s="111"/>
      <c r="K218" s="121"/>
      <c r="L218" s="121"/>
      <c r="M218" s="124"/>
      <c r="N218" s="121"/>
      <c r="O218" s="123"/>
      <c r="P218" s="123"/>
      <c r="Q218" s="65"/>
      <c r="R218" s="2"/>
      <c r="S218" s="2"/>
      <c r="T218" s="2"/>
      <c r="U218" s="2"/>
      <c r="V218" s="60"/>
      <c r="W218" s="240"/>
      <c r="X218" s="60"/>
      <c r="Y218" s="2"/>
      <c r="Z218" s="2"/>
      <c r="AA218" s="2"/>
      <c r="AC218" s="107"/>
      <c r="AD218" s="2"/>
      <c r="AE218" s="2"/>
      <c r="AF218" s="2"/>
      <c r="AG218" s="2"/>
      <c r="AH218" s="2"/>
      <c r="AM218" s="72"/>
      <c r="AN218" s="1206"/>
      <c r="AO218" s="72"/>
      <c r="AP218" s="118"/>
      <c r="AQ218" s="8"/>
      <c r="AR218" s="8"/>
      <c r="AS218" s="8"/>
      <c r="AT218" s="8"/>
      <c r="AU218" s="8"/>
      <c r="AV218" s="72"/>
      <c r="AW218" s="72"/>
      <c r="AX218" s="72"/>
      <c r="AY218" s="72"/>
      <c r="AZ218" s="72"/>
      <c r="BA218" s="72"/>
      <c r="BB218" s="72"/>
      <c r="BC218" s="72"/>
      <c r="BD218" s="72"/>
      <c r="BE218" s="72"/>
      <c r="BF218" s="72"/>
      <c r="BG218" s="72"/>
      <c r="BH218" s="72"/>
      <c r="BI218" s="72"/>
      <c r="BJ218" s="72"/>
      <c r="BK218" s="72"/>
      <c r="BL218" s="72"/>
      <c r="BM218" s="72"/>
      <c r="BN218" s="72"/>
    </row>
    <row r="219" spans="3:66" s="42" customFormat="1" ht="16.149999999999999" customHeight="1" x14ac:dyDescent="0.25">
      <c r="C219" s="60"/>
      <c r="D219" s="60"/>
      <c r="E219" s="60"/>
      <c r="F219" s="56"/>
      <c r="G219" s="65"/>
      <c r="H219" s="65"/>
      <c r="I219" s="111"/>
      <c r="J219" s="111"/>
      <c r="K219" s="121"/>
      <c r="L219" s="121"/>
      <c r="M219" s="124"/>
      <c r="N219" s="121"/>
      <c r="O219" s="123"/>
      <c r="P219" s="123"/>
      <c r="Q219" s="65"/>
      <c r="R219" s="2"/>
      <c r="S219" s="2"/>
      <c r="T219" s="2"/>
      <c r="U219" s="2"/>
      <c r="V219" s="60"/>
      <c r="W219" s="240"/>
      <c r="X219" s="60"/>
      <c r="Y219" s="2"/>
      <c r="Z219" s="2"/>
      <c r="AA219" s="2"/>
      <c r="AC219" s="107"/>
      <c r="AD219" s="2"/>
      <c r="AE219" s="2"/>
      <c r="AF219" s="2"/>
      <c r="AG219" s="2"/>
      <c r="AH219" s="2"/>
      <c r="AM219" s="72"/>
      <c r="AN219" s="1206"/>
      <c r="AO219" s="72"/>
      <c r="AP219" s="118"/>
      <c r="AQ219" s="8"/>
      <c r="AR219" s="8"/>
      <c r="AS219" s="8"/>
      <c r="AT219" s="8"/>
      <c r="AU219" s="8"/>
      <c r="AV219" s="72"/>
      <c r="AW219" s="72"/>
      <c r="AX219" s="72"/>
      <c r="AY219" s="72"/>
      <c r="AZ219" s="72"/>
      <c r="BA219" s="72"/>
      <c r="BB219" s="72"/>
      <c r="BC219" s="72"/>
      <c r="BD219" s="72"/>
      <c r="BE219" s="72"/>
      <c r="BF219" s="72"/>
      <c r="BG219" s="72"/>
      <c r="BH219" s="72"/>
      <c r="BI219" s="72"/>
      <c r="BJ219" s="72"/>
      <c r="BK219" s="72"/>
      <c r="BL219" s="72"/>
      <c r="BM219" s="72"/>
      <c r="BN219" s="72"/>
    </row>
    <row r="220" spans="3:66" s="42" customFormat="1" ht="16.149999999999999" customHeight="1" x14ac:dyDescent="0.25">
      <c r="C220" s="60"/>
      <c r="D220" s="60"/>
      <c r="E220" s="60"/>
      <c r="F220" s="56"/>
      <c r="G220" s="65"/>
      <c r="H220" s="65"/>
      <c r="I220" s="111"/>
      <c r="J220" s="111"/>
      <c r="K220" s="121"/>
      <c r="L220" s="121"/>
      <c r="M220" s="124"/>
      <c r="N220" s="121"/>
      <c r="O220" s="123"/>
      <c r="P220" s="123"/>
      <c r="Q220" s="65"/>
      <c r="R220" s="2"/>
      <c r="S220" s="2"/>
      <c r="T220" s="2"/>
      <c r="U220" s="2"/>
      <c r="V220" s="60"/>
      <c r="W220" s="240"/>
      <c r="X220" s="60"/>
      <c r="Y220" s="2"/>
      <c r="Z220" s="2"/>
      <c r="AA220" s="2"/>
      <c r="AC220" s="107"/>
      <c r="AD220" s="2"/>
      <c r="AE220" s="2"/>
      <c r="AF220" s="2"/>
      <c r="AG220" s="2"/>
      <c r="AH220" s="2"/>
      <c r="AM220" s="72"/>
      <c r="AN220" s="1206"/>
      <c r="AO220" s="72"/>
      <c r="AP220" s="118"/>
      <c r="AQ220" s="8"/>
      <c r="AR220" s="8"/>
      <c r="AS220" s="8"/>
      <c r="AT220" s="8"/>
      <c r="AU220" s="8"/>
      <c r="AV220" s="72"/>
      <c r="AW220" s="72"/>
      <c r="AX220" s="72"/>
      <c r="AY220" s="72"/>
      <c r="AZ220" s="72"/>
      <c r="BA220" s="72"/>
      <c r="BB220" s="72"/>
      <c r="BC220" s="72"/>
      <c r="BD220" s="72"/>
      <c r="BE220" s="72"/>
      <c r="BF220" s="72"/>
      <c r="BG220" s="72"/>
      <c r="BH220" s="72"/>
      <c r="BI220" s="72"/>
      <c r="BJ220" s="72"/>
      <c r="BK220" s="72"/>
      <c r="BL220" s="72"/>
      <c r="BM220" s="72"/>
      <c r="BN220" s="72"/>
    </row>
    <row r="221" spans="3:66" s="42" customFormat="1" ht="16.149999999999999" customHeight="1" x14ac:dyDescent="0.25">
      <c r="C221" s="60"/>
      <c r="D221" s="60"/>
      <c r="E221" s="60"/>
      <c r="F221" s="56"/>
      <c r="G221" s="65"/>
      <c r="H221" s="65"/>
      <c r="I221" s="111"/>
      <c r="J221" s="111"/>
      <c r="K221" s="121"/>
      <c r="L221" s="121"/>
      <c r="M221" s="124"/>
      <c r="N221" s="121"/>
      <c r="O221" s="123"/>
      <c r="P221" s="123"/>
      <c r="Q221" s="65"/>
      <c r="R221" s="2"/>
      <c r="S221" s="2"/>
      <c r="T221" s="2"/>
      <c r="U221" s="2"/>
      <c r="V221" s="60"/>
      <c r="W221" s="240"/>
      <c r="X221" s="60"/>
      <c r="Y221" s="2"/>
      <c r="Z221" s="2"/>
      <c r="AA221" s="2"/>
      <c r="AC221" s="107"/>
      <c r="AD221" s="2"/>
      <c r="AE221" s="2"/>
      <c r="AF221" s="2"/>
      <c r="AG221" s="2"/>
      <c r="AH221" s="2"/>
      <c r="AM221" s="72"/>
      <c r="AN221" s="1206"/>
      <c r="AO221" s="72"/>
      <c r="AP221" s="118"/>
      <c r="AQ221" s="8"/>
      <c r="AR221" s="8"/>
      <c r="AS221" s="8"/>
      <c r="AT221" s="8"/>
      <c r="AU221" s="8"/>
      <c r="AV221" s="72"/>
      <c r="AW221" s="72"/>
      <c r="AX221" s="72"/>
      <c r="AY221" s="72"/>
      <c r="AZ221" s="72"/>
      <c r="BA221" s="72"/>
      <c r="BB221" s="72"/>
      <c r="BC221" s="72"/>
      <c r="BD221" s="72"/>
      <c r="BE221" s="72"/>
      <c r="BF221" s="72"/>
      <c r="BG221" s="72"/>
      <c r="BH221" s="72"/>
      <c r="BI221" s="72"/>
      <c r="BJ221" s="72"/>
      <c r="BK221" s="72"/>
      <c r="BL221" s="72"/>
      <c r="BM221" s="72"/>
      <c r="BN221" s="72"/>
    </row>
    <row r="222" spans="3:66" s="42" customFormat="1" ht="16.149999999999999" customHeight="1" x14ac:dyDescent="0.25">
      <c r="C222" s="60"/>
      <c r="D222" s="60"/>
      <c r="E222" s="60"/>
      <c r="F222" s="56"/>
      <c r="G222" s="65"/>
      <c r="H222" s="65"/>
      <c r="I222" s="111"/>
      <c r="J222" s="111"/>
      <c r="K222" s="121"/>
      <c r="L222" s="121"/>
      <c r="M222" s="124"/>
      <c r="N222" s="121"/>
      <c r="O222" s="123"/>
      <c r="P222" s="123"/>
      <c r="Q222" s="65"/>
      <c r="R222" s="2"/>
      <c r="S222" s="2"/>
      <c r="T222" s="2"/>
      <c r="U222" s="2"/>
      <c r="V222" s="60"/>
      <c r="W222" s="240"/>
      <c r="X222" s="60"/>
      <c r="Y222" s="2"/>
      <c r="Z222" s="2"/>
      <c r="AA222" s="2"/>
      <c r="AC222" s="107"/>
      <c r="AD222" s="2"/>
      <c r="AE222" s="2"/>
      <c r="AF222" s="2"/>
      <c r="AG222" s="2"/>
      <c r="AH222" s="2"/>
      <c r="AM222" s="72"/>
      <c r="AN222" s="1206"/>
      <c r="AO222" s="72"/>
      <c r="AP222" s="118"/>
      <c r="AQ222" s="8"/>
      <c r="AR222" s="8"/>
      <c r="AS222" s="8"/>
      <c r="AT222" s="8"/>
      <c r="AU222" s="8"/>
      <c r="AV222" s="72"/>
      <c r="AW222" s="72"/>
      <c r="AX222" s="72"/>
      <c r="AY222" s="72"/>
      <c r="AZ222" s="72"/>
      <c r="BA222" s="72"/>
      <c r="BB222" s="72"/>
      <c r="BC222" s="72"/>
      <c r="BD222" s="72"/>
      <c r="BE222" s="72"/>
      <c r="BF222" s="72"/>
      <c r="BG222" s="72"/>
      <c r="BH222" s="72"/>
      <c r="BI222" s="72"/>
      <c r="BJ222" s="72"/>
      <c r="BK222" s="72"/>
      <c r="BL222" s="72"/>
      <c r="BM222" s="72"/>
      <c r="BN222" s="72"/>
    </row>
    <row r="223" spans="3:66" s="42" customFormat="1" ht="16.149999999999999" customHeight="1" x14ac:dyDescent="0.25">
      <c r="C223" s="60"/>
      <c r="D223" s="60"/>
      <c r="E223" s="60"/>
      <c r="F223" s="56"/>
      <c r="G223" s="65"/>
      <c r="H223" s="65"/>
      <c r="I223" s="111"/>
      <c r="J223" s="111"/>
      <c r="K223" s="121"/>
      <c r="L223" s="121"/>
      <c r="M223" s="124"/>
      <c r="N223" s="121"/>
      <c r="O223" s="123"/>
      <c r="P223" s="123"/>
      <c r="Q223" s="65"/>
      <c r="R223" s="2"/>
      <c r="S223" s="2"/>
      <c r="T223" s="2"/>
      <c r="U223" s="2"/>
      <c r="V223" s="60"/>
      <c r="W223" s="240"/>
      <c r="X223" s="60"/>
      <c r="Y223" s="2"/>
      <c r="Z223" s="2"/>
      <c r="AA223" s="2"/>
      <c r="AC223" s="107"/>
      <c r="AD223" s="2"/>
      <c r="AE223" s="2"/>
      <c r="AF223" s="2"/>
      <c r="AG223" s="2"/>
      <c r="AH223" s="2"/>
      <c r="AM223" s="72"/>
      <c r="AN223" s="1206"/>
      <c r="AO223" s="72"/>
      <c r="AP223" s="118"/>
      <c r="AQ223" s="8"/>
      <c r="AR223" s="8"/>
      <c r="AS223" s="8"/>
      <c r="AT223" s="8"/>
      <c r="AU223" s="8"/>
      <c r="AV223" s="72"/>
      <c r="AW223" s="72"/>
      <c r="AX223" s="72"/>
      <c r="AY223" s="72"/>
      <c r="AZ223" s="72"/>
      <c r="BA223" s="72"/>
      <c r="BB223" s="72"/>
      <c r="BC223" s="72"/>
      <c r="BD223" s="72"/>
      <c r="BE223" s="72"/>
      <c r="BF223" s="72"/>
      <c r="BG223" s="72"/>
      <c r="BH223" s="72"/>
      <c r="BI223" s="72"/>
      <c r="BJ223" s="72"/>
      <c r="BK223" s="72"/>
      <c r="BL223" s="72"/>
      <c r="BM223" s="72"/>
      <c r="BN223" s="72"/>
    </row>
    <row r="224" spans="3:66" s="42" customFormat="1" ht="16.149999999999999" customHeight="1" x14ac:dyDescent="0.25">
      <c r="C224" s="60"/>
      <c r="D224" s="60"/>
      <c r="E224" s="60"/>
      <c r="F224" s="56"/>
      <c r="G224" s="65"/>
      <c r="H224" s="65"/>
      <c r="I224" s="111"/>
      <c r="J224" s="111"/>
      <c r="K224" s="121"/>
      <c r="L224" s="121"/>
      <c r="M224" s="124"/>
      <c r="N224" s="121"/>
      <c r="O224" s="123"/>
      <c r="P224" s="123"/>
      <c r="Q224" s="65"/>
      <c r="R224" s="2"/>
      <c r="S224" s="2"/>
      <c r="T224" s="2"/>
      <c r="U224" s="2"/>
      <c r="V224" s="60"/>
      <c r="W224" s="240"/>
      <c r="X224" s="60"/>
      <c r="Y224" s="2"/>
      <c r="Z224" s="2"/>
      <c r="AA224" s="2"/>
      <c r="AC224" s="107"/>
      <c r="AD224" s="2"/>
      <c r="AE224" s="2"/>
      <c r="AF224" s="2"/>
      <c r="AG224" s="2"/>
      <c r="AH224" s="2"/>
      <c r="AM224" s="72"/>
      <c r="AN224" s="1206"/>
      <c r="AO224" s="72"/>
      <c r="AP224" s="118"/>
      <c r="AQ224" s="8"/>
      <c r="AR224" s="8"/>
      <c r="AS224" s="8"/>
      <c r="AT224" s="8"/>
      <c r="AU224" s="8"/>
      <c r="AV224" s="72"/>
      <c r="AW224" s="72"/>
      <c r="AX224" s="72"/>
      <c r="AY224" s="72"/>
      <c r="AZ224" s="72"/>
      <c r="BA224" s="72"/>
      <c r="BB224" s="72"/>
      <c r="BC224" s="72"/>
      <c r="BD224" s="72"/>
      <c r="BE224" s="72"/>
      <c r="BF224" s="72"/>
      <c r="BG224" s="72"/>
      <c r="BH224" s="72"/>
      <c r="BI224" s="72"/>
      <c r="BJ224" s="72"/>
      <c r="BK224" s="72"/>
      <c r="BL224" s="72"/>
      <c r="BM224" s="72"/>
      <c r="BN224" s="72"/>
    </row>
    <row r="225" spans="3:66" s="42" customFormat="1" ht="16.149999999999999" customHeight="1" x14ac:dyDescent="0.25">
      <c r="C225" s="60"/>
      <c r="D225" s="60"/>
      <c r="E225" s="60"/>
      <c r="F225" s="56"/>
      <c r="G225" s="65"/>
      <c r="H225" s="65"/>
      <c r="I225" s="111"/>
      <c r="J225" s="111"/>
      <c r="K225" s="121"/>
      <c r="L225" s="121"/>
      <c r="M225" s="124"/>
      <c r="N225" s="121"/>
      <c r="O225" s="123"/>
      <c r="P225" s="123"/>
      <c r="Q225" s="65"/>
      <c r="R225" s="2"/>
      <c r="S225" s="2"/>
      <c r="T225" s="2"/>
      <c r="U225" s="2"/>
      <c r="V225" s="60"/>
      <c r="W225" s="240"/>
      <c r="X225" s="60"/>
      <c r="Y225" s="2"/>
      <c r="Z225" s="2"/>
      <c r="AA225" s="2"/>
      <c r="AC225" s="107"/>
      <c r="AD225" s="2"/>
      <c r="AE225" s="2"/>
      <c r="AF225" s="2"/>
      <c r="AG225" s="2"/>
      <c r="AH225" s="2"/>
      <c r="AM225" s="72"/>
      <c r="AN225" s="1206"/>
      <c r="AO225" s="72"/>
      <c r="AP225" s="118"/>
      <c r="AQ225" s="8"/>
      <c r="AR225" s="8"/>
      <c r="AS225" s="8"/>
      <c r="AT225" s="8"/>
      <c r="AU225" s="8"/>
      <c r="AV225" s="72"/>
      <c r="AW225" s="72"/>
      <c r="AX225" s="72"/>
      <c r="AY225" s="72"/>
      <c r="AZ225" s="72"/>
      <c r="BA225" s="72"/>
      <c r="BB225" s="72"/>
      <c r="BC225" s="72"/>
      <c r="BD225" s="72"/>
      <c r="BE225" s="72"/>
      <c r="BF225" s="72"/>
      <c r="BG225" s="72"/>
      <c r="BH225" s="72"/>
      <c r="BI225" s="72"/>
      <c r="BJ225" s="72"/>
      <c r="BK225" s="72"/>
      <c r="BL225" s="72"/>
      <c r="BM225" s="72"/>
      <c r="BN225" s="72"/>
    </row>
    <row r="226" spans="3:66" s="42" customFormat="1" ht="16.149999999999999" customHeight="1" x14ac:dyDescent="0.25">
      <c r="C226" s="60"/>
      <c r="D226" s="60"/>
      <c r="E226" s="60"/>
      <c r="F226" s="56"/>
      <c r="G226" s="65"/>
      <c r="H226" s="65"/>
      <c r="I226" s="111"/>
      <c r="J226" s="111"/>
      <c r="K226" s="121"/>
      <c r="L226" s="121"/>
      <c r="M226" s="124"/>
      <c r="N226" s="121"/>
      <c r="O226" s="123"/>
      <c r="P226" s="123"/>
      <c r="Q226" s="65"/>
      <c r="R226" s="2"/>
      <c r="S226" s="2"/>
      <c r="T226" s="2"/>
      <c r="U226" s="2"/>
      <c r="V226" s="60"/>
      <c r="W226" s="240"/>
      <c r="X226" s="60"/>
      <c r="Y226" s="2"/>
      <c r="Z226" s="2"/>
      <c r="AA226" s="2"/>
      <c r="AC226" s="107"/>
      <c r="AD226" s="2"/>
      <c r="AE226" s="2"/>
      <c r="AF226" s="2"/>
      <c r="AG226" s="2"/>
      <c r="AH226" s="2"/>
      <c r="AM226" s="72"/>
      <c r="AN226" s="1206"/>
      <c r="AO226" s="72"/>
      <c r="AP226" s="118"/>
      <c r="AQ226" s="8"/>
      <c r="AR226" s="8"/>
      <c r="AS226" s="8"/>
      <c r="AT226" s="8"/>
      <c r="AU226" s="8"/>
      <c r="AV226" s="72"/>
      <c r="AW226" s="72"/>
      <c r="AX226" s="72"/>
      <c r="AY226" s="72"/>
      <c r="AZ226" s="72"/>
      <c r="BA226" s="72"/>
      <c r="BB226" s="72"/>
      <c r="BC226" s="72"/>
      <c r="BD226" s="72"/>
      <c r="BE226" s="72"/>
      <c r="BF226" s="72"/>
      <c r="BG226" s="72"/>
      <c r="BH226" s="72"/>
      <c r="BI226" s="72"/>
      <c r="BJ226" s="72"/>
      <c r="BK226" s="72"/>
      <c r="BL226" s="72"/>
      <c r="BM226" s="72"/>
      <c r="BN226" s="72"/>
    </row>
    <row r="227" spans="3:66" ht="16.149999999999999" customHeight="1" x14ac:dyDescent="0.25">
      <c r="F227" s="56"/>
      <c r="AB227" s="2"/>
      <c r="AI227" s="42"/>
      <c r="AJ227" s="42"/>
      <c r="AK227" s="42"/>
      <c r="AL227" s="42"/>
      <c r="AQ227" s="8"/>
      <c r="AR227" s="8"/>
      <c r="AS227" s="8"/>
      <c r="AT227" s="8"/>
      <c r="AU227" s="8"/>
    </row>
    <row r="228" spans="3:66" s="42" customFormat="1" ht="16.149999999999999" customHeight="1" x14ac:dyDescent="0.25">
      <c r="C228" s="60"/>
      <c r="D228" s="60"/>
      <c r="E228" s="60"/>
      <c r="F228" s="56"/>
      <c r="G228" s="65"/>
      <c r="H228" s="65"/>
      <c r="I228" s="111"/>
      <c r="J228" s="111"/>
      <c r="K228" s="121"/>
      <c r="L228" s="121"/>
      <c r="M228" s="124"/>
      <c r="N228" s="121"/>
      <c r="O228" s="123"/>
      <c r="P228" s="123"/>
      <c r="Q228" s="65"/>
      <c r="R228" s="2"/>
      <c r="S228" s="2"/>
      <c r="T228" s="2"/>
      <c r="U228" s="2"/>
      <c r="V228" s="60"/>
      <c r="W228" s="240"/>
      <c r="X228" s="60"/>
      <c r="Y228" s="2"/>
      <c r="Z228" s="2"/>
      <c r="AA228" s="2"/>
      <c r="AC228" s="107"/>
      <c r="AD228" s="2"/>
      <c r="AE228" s="2"/>
      <c r="AF228" s="2"/>
      <c r="AG228" s="2"/>
      <c r="AH228" s="2"/>
      <c r="AM228" s="72"/>
      <c r="AN228" s="1206"/>
      <c r="AO228" s="72"/>
      <c r="AP228" s="118"/>
      <c r="AQ228" s="8"/>
      <c r="AR228" s="8"/>
      <c r="AS228" s="8"/>
      <c r="AT228" s="8"/>
      <c r="AU228" s="8"/>
      <c r="AV228" s="72"/>
      <c r="AW228" s="72"/>
      <c r="AX228" s="72"/>
      <c r="AY228" s="72"/>
      <c r="AZ228" s="72"/>
      <c r="BA228" s="72"/>
      <c r="BB228" s="72"/>
      <c r="BC228" s="72"/>
      <c r="BD228" s="72"/>
      <c r="BE228" s="72"/>
      <c r="BF228" s="72"/>
      <c r="BG228" s="72"/>
      <c r="BH228" s="72"/>
      <c r="BI228" s="72"/>
      <c r="BJ228" s="72"/>
      <c r="BK228" s="72"/>
      <c r="BL228" s="72"/>
      <c r="BM228" s="72"/>
      <c r="BN228" s="72"/>
    </row>
    <row r="229" spans="3:66" s="42" customFormat="1" ht="16.149999999999999" customHeight="1" x14ac:dyDescent="0.25">
      <c r="C229" s="60"/>
      <c r="D229" s="60"/>
      <c r="E229" s="60"/>
      <c r="F229" s="65"/>
      <c r="G229" s="65"/>
      <c r="H229" s="65"/>
      <c r="I229" s="111"/>
      <c r="J229" s="111"/>
      <c r="K229" s="121"/>
      <c r="L229" s="121"/>
      <c r="M229" s="124"/>
      <c r="N229" s="121"/>
      <c r="O229" s="123"/>
      <c r="P229" s="123"/>
      <c r="Q229" s="65"/>
      <c r="R229" s="2"/>
      <c r="S229" s="2"/>
      <c r="T229" s="2"/>
      <c r="U229" s="2"/>
      <c r="V229" s="60"/>
      <c r="W229" s="240"/>
      <c r="X229" s="60"/>
      <c r="Y229" s="2"/>
      <c r="Z229" s="2"/>
      <c r="AA229" s="2"/>
      <c r="AC229" s="107"/>
      <c r="AD229" s="2"/>
      <c r="AE229" s="2"/>
      <c r="AF229" s="2"/>
      <c r="AG229" s="2"/>
      <c r="AH229" s="2"/>
      <c r="AM229" s="72"/>
      <c r="AN229" s="1206"/>
      <c r="AO229" s="72"/>
      <c r="AP229" s="118"/>
      <c r="AQ229" s="8"/>
      <c r="AR229" s="8"/>
      <c r="AS229" s="8"/>
      <c r="AT229" s="8"/>
      <c r="AU229" s="8"/>
      <c r="AV229" s="72"/>
      <c r="AW229" s="72"/>
      <c r="AX229" s="72"/>
      <c r="AY229" s="72"/>
      <c r="AZ229" s="72"/>
      <c r="BA229" s="72"/>
      <c r="BB229" s="72"/>
      <c r="BC229" s="72"/>
      <c r="BD229" s="72"/>
      <c r="BE229" s="72"/>
      <c r="BF229" s="72"/>
      <c r="BG229" s="72"/>
      <c r="BH229" s="72"/>
      <c r="BI229" s="72"/>
      <c r="BJ229" s="72"/>
      <c r="BK229" s="72"/>
      <c r="BL229" s="72"/>
      <c r="BM229" s="72"/>
      <c r="BN229" s="72"/>
    </row>
    <row r="230" spans="3:66" s="42" customFormat="1" ht="16.149999999999999" customHeight="1" x14ac:dyDescent="0.25">
      <c r="C230" s="60"/>
      <c r="D230" s="60"/>
      <c r="E230" s="60"/>
      <c r="F230" s="56"/>
      <c r="G230" s="65"/>
      <c r="H230" s="65"/>
      <c r="I230" s="111"/>
      <c r="J230" s="111"/>
      <c r="K230" s="121"/>
      <c r="L230" s="121"/>
      <c r="M230" s="124"/>
      <c r="N230" s="121"/>
      <c r="O230" s="123"/>
      <c r="P230" s="123"/>
      <c r="Q230" s="65"/>
      <c r="R230" s="2"/>
      <c r="S230" s="2"/>
      <c r="T230" s="2"/>
      <c r="U230" s="2"/>
      <c r="V230" s="60"/>
      <c r="W230" s="240"/>
      <c r="X230" s="60"/>
      <c r="Y230" s="2"/>
      <c r="Z230" s="2"/>
      <c r="AA230" s="2"/>
      <c r="AC230" s="107"/>
      <c r="AD230" s="2"/>
      <c r="AE230" s="2"/>
      <c r="AF230" s="2"/>
      <c r="AG230" s="2"/>
      <c r="AH230" s="2"/>
      <c r="AM230" s="72"/>
      <c r="AN230" s="1206"/>
      <c r="AO230" s="72"/>
      <c r="AP230" s="118"/>
      <c r="AQ230" s="8"/>
      <c r="AR230" s="8"/>
      <c r="AS230" s="8"/>
      <c r="AT230" s="8"/>
      <c r="AU230" s="8"/>
      <c r="AV230" s="72"/>
      <c r="AW230" s="72"/>
      <c r="AX230" s="72"/>
      <c r="AY230" s="72"/>
      <c r="AZ230" s="72"/>
      <c r="BA230" s="72"/>
      <c r="BB230" s="72"/>
      <c r="BC230" s="72"/>
      <c r="BD230" s="72"/>
      <c r="BE230" s="72"/>
      <c r="BF230" s="72"/>
      <c r="BG230" s="72"/>
      <c r="BH230" s="72"/>
      <c r="BI230" s="72"/>
      <c r="BJ230" s="72"/>
      <c r="BK230" s="72"/>
      <c r="BL230" s="72"/>
      <c r="BM230" s="72"/>
      <c r="BN230" s="72"/>
    </row>
    <row r="231" spans="3:66" s="42" customFormat="1" ht="16.149999999999999" customHeight="1" x14ac:dyDescent="0.25">
      <c r="C231" s="60"/>
      <c r="D231" s="60"/>
      <c r="E231" s="60"/>
      <c r="F231" s="56"/>
      <c r="G231" s="65"/>
      <c r="H231" s="65"/>
      <c r="I231" s="111"/>
      <c r="J231" s="111"/>
      <c r="K231" s="121"/>
      <c r="L231" s="121"/>
      <c r="M231" s="124"/>
      <c r="N231" s="121"/>
      <c r="O231" s="123"/>
      <c r="P231" s="123"/>
      <c r="Q231" s="65"/>
      <c r="R231" s="2"/>
      <c r="S231" s="2"/>
      <c r="T231" s="2"/>
      <c r="U231" s="2"/>
      <c r="V231" s="60"/>
      <c r="W231" s="240"/>
      <c r="X231" s="60"/>
      <c r="Y231" s="2"/>
      <c r="Z231" s="2"/>
      <c r="AA231" s="2"/>
      <c r="AC231" s="107"/>
      <c r="AD231" s="2"/>
      <c r="AE231" s="2"/>
      <c r="AF231" s="2"/>
      <c r="AG231" s="2"/>
      <c r="AH231" s="2"/>
      <c r="AM231" s="72"/>
      <c r="AN231" s="1206"/>
      <c r="AO231" s="72"/>
      <c r="AP231" s="118"/>
      <c r="AQ231" s="8"/>
      <c r="AR231" s="8"/>
      <c r="AS231" s="8"/>
      <c r="AT231" s="8"/>
      <c r="AU231" s="8"/>
      <c r="AV231" s="72"/>
      <c r="AW231" s="72"/>
      <c r="AX231" s="72"/>
      <c r="AY231" s="72"/>
      <c r="AZ231" s="72"/>
      <c r="BA231" s="72"/>
      <c r="BB231" s="72"/>
      <c r="BC231" s="72"/>
      <c r="BD231" s="72"/>
      <c r="BE231" s="72"/>
      <c r="BF231" s="72"/>
      <c r="BG231" s="72"/>
      <c r="BH231" s="72"/>
      <c r="BI231" s="72"/>
      <c r="BJ231" s="72"/>
      <c r="BK231" s="72"/>
      <c r="BL231" s="72"/>
      <c r="BM231" s="72"/>
      <c r="BN231" s="72"/>
    </row>
    <row r="232" spans="3:66" s="42" customFormat="1" ht="16.149999999999999" customHeight="1" x14ac:dyDescent="0.25">
      <c r="C232" s="60"/>
      <c r="D232" s="60"/>
      <c r="E232" s="60"/>
      <c r="F232" s="56"/>
      <c r="G232" s="65"/>
      <c r="H232" s="65"/>
      <c r="I232" s="111"/>
      <c r="J232" s="111"/>
      <c r="K232" s="121"/>
      <c r="L232" s="121"/>
      <c r="M232" s="124"/>
      <c r="N232" s="121"/>
      <c r="O232" s="123"/>
      <c r="P232" s="123"/>
      <c r="Q232" s="65"/>
      <c r="R232" s="2"/>
      <c r="S232" s="2"/>
      <c r="T232" s="2"/>
      <c r="U232" s="2"/>
      <c r="V232" s="60"/>
      <c r="W232" s="240"/>
      <c r="X232" s="60"/>
      <c r="Y232" s="2"/>
      <c r="Z232" s="2"/>
      <c r="AA232" s="2"/>
      <c r="AC232" s="107"/>
      <c r="AD232" s="2"/>
      <c r="AE232" s="2"/>
      <c r="AF232" s="2"/>
      <c r="AG232" s="2"/>
      <c r="AH232" s="2"/>
      <c r="AM232" s="72"/>
      <c r="AN232" s="1206"/>
      <c r="AO232" s="72"/>
      <c r="AP232" s="118"/>
      <c r="AQ232" s="8"/>
      <c r="AR232" s="8"/>
      <c r="AS232" s="8"/>
      <c r="AT232" s="8"/>
      <c r="AU232" s="8"/>
      <c r="AV232" s="72"/>
      <c r="AW232" s="72"/>
      <c r="AX232" s="72"/>
      <c r="AY232" s="72"/>
      <c r="AZ232" s="72"/>
      <c r="BA232" s="72"/>
      <c r="BB232" s="72"/>
      <c r="BC232" s="72"/>
      <c r="BD232" s="72"/>
      <c r="BE232" s="72"/>
      <c r="BF232" s="72"/>
      <c r="BG232" s="72"/>
      <c r="BH232" s="72"/>
      <c r="BI232" s="72"/>
      <c r="BJ232" s="72"/>
      <c r="BK232" s="72"/>
      <c r="BL232" s="72"/>
      <c r="BM232" s="72"/>
      <c r="BN232" s="72"/>
    </row>
    <row r="233" spans="3:66" s="42" customFormat="1" ht="16.149999999999999" customHeight="1" x14ac:dyDescent="0.25">
      <c r="C233" s="60"/>
      <c r="D233" s="60"/>
      <c r="E233" s="60"/>
      <c r="F233" s="56"/>
      <c r="G233" s="65"/>
      <c r="H233" s="65"/>
      <c r="I233" s="111"/>
      <c r="J233" s="111"/>
      <c r="K233" s="121"/>
      <c r="L233" s="121"/>
      <c r="M233" s="124"/>
      <c r="N233" s="121"/>
      <c r="O233" s="123"/>
      <c r="P233" s="123"/>
      <c r="Q233" s="65"/>
      <c r="R233" s="2"/>
      <c r="S233" s="2"/>
      <c r="T233" s="2"/>
      <c r="U233" s="2"/>
      <c r="V233" s="60"/>
      <c r="W233" s="240"/>
      <c r="X233" s="60"/>
      <c r="Y233" s="2"/>
      <c r="Z233" s="2"/>
      <c r="AA233" s="2"/>
      <c r="AC233" s="107"/>
      <c r="AD233" s="2"/>
      <c r="AE233" s="2"/>
      <c r="AF233" s="2"/>
      <c r="AG233" s="2"/>
      <c r="AH233" s="2"/>
      <c r="AM233" s="72"/>
      <c r="AN233" s="1206"/>
      <c r="AO233" s="72"/>
      <c r="AP233" s="118"/>
      <c r="AQ233" s="8"/>
      <c r="AR233" s="8"/>
      <c r="AS233" s="8"/>
      <c r="AT233" s="8"/>
      <c r="AU233" s="8"/>
      <c r="AV233" s="72"/>
      <c r="AW233" s="72"/>
      <c r="AX233" s="72"/>
      <c r="AY233" s="72"/>
      <c r="AZ233" s="72"/>
      <c r="BA233" s="72"/>
      <c r="BB233" s="72"/>
      <c r="BC233" s="72"/>
      <c r="BD233" s="72"/>
      <c r="BE233" s="72"/>
      <c r="BF233" s="72"/>
      <c r="BG233" s="72"/>
      <c r="BH233" s="72"/>
      <c r="BI233" s="72"/>
      <c r="BJ233" s="72"/>
      <c r="BK233" s="72"/>
      <c r="BL233" s="72"/>
      <c r="BM233" s="72"/>
      <c r="BN233" s="72"/>
    </row>
    <row r="234" spans="3:66" s="42" customFormat="1" ht="16.149999999999999" customHeight="1" x14ac:dyDescent="0.25">
      <c r="C234" s="60"/>
      <c r="D234" s="60"/>
      <c r="E234" s="60"/>
      <c r="F234" s="56"/>
      <c r="G234" s="65"/>
      <c r="H234" s="65"/>
      <c r="I234" s="111"/>
      <c r="J234" s="111"/>
      <c r="K234" s="121"/>
      <c r="L234" s="121"/>
      <c r="M234" s="124"/>
      <c r="N234" s="121"/>
      <c r="O234" s="123"/>
      <c r="P234" s="123"/>
      <c r="Q234" s="65"/>
      <c r="R234" s="2"/>
      <c r="S234" s="2"/>
      <c r="T234" s="2"/>
      <c r="U234" s="2"/>
      <c r="V234" s="60"/>
      <c r="W234" s="240"/>
      <c r="X234" s="60"/>
      <c r="Y234" s="2"/>
      <c r="Z234" s="2"/>
      <c r="AA234" s="2"/>
      <c r="AC234" s="107"/>
      <c r="AD234" s="2"/>
      <c r="AE234" s="2"/>
      <c r="AF234" s="2"/>
      <c r="AG234" s="2"/>
      <c r="AH234" s="2"/>
      <c r="AM234" s="72"/>
      <c r="AN234" s="1206"/>
      <c r="AO234" s="72"/>
      <c r="AP234" s="118"/>
      <c r="AQ234" s="8"/>
      <c r="AR234" s="8"/>
      <c r="AS234" s="8"/>
      <c r="AT234" s="8"/>
      <c r="AU234" s="8"/>
      <c r="AV234" s="72"/>
      <c r="AW234" s="72"/>
      <c r="AX234" s="72"/>
      <c r="AY234" s="72"/>
      <c r="AZ234" s="72"/>
      <c r="BA234" s="72"/>
      <c r="BB234" s="72"/>
      <c r="BC234" s="72"/>
      <c r="BD234" s="72"/>
      <c r="BE234" s="72"/>
      <c r="BF234" s="72"/>
      <c r="BG234" s="72"/>
      <c r="BH234" s="72"/>
      <c r="BI234" s="72"/>
      <c r="BJ234" s="72"/>
      <c r="BK234" s="72"/>
      <c r="BL234" s="72"/>
      <c r="BM234" s="72"/>
      <c r="BN234" s="72"/>
    </row>
    <row r="235" spans="3:66" s="42" customFormat="1" ht="16.149999999999999" customHeight="1" x14ac:dyDescent="0.25">
      <c r="C235" s="60"/>
      <c r="D235" s="60"/>
      <c r="E235" s="60"/>
      <c r="F235" s="56"/>
      <c r="G235" s="65"/>
      <c r="H235" s="65"/>
      <c r="I235" s="111"/>
      <c r="J235" s="111"/>
      <c r="K235" s="121"/>
      <c r="L235" s="121"/>
      <c r="M235" s="124"/>
      <c r="N235" s="121"/>
      <c r="O235" s="123"/>
      <c r="P235" s="123"/>
      <c r="Q235" s="65"/>
      <c r="R235" s="2"/>
      <c r="S235" s="2"/>
      <c r="T235" s="2"/>
      <c r="U235" s="2"/>
      <c r="V235" s="60"/>
      <c r="W235" s="240"/>
      <c r="X235" s="60"/>
      <c r="Y235" s="2"/>
      <c r="Z235" s="2"/>
      <c r="AA235" s="2"/>
      <c r="AC235" s="107"/>
      <c r="AD235" s="2"/>
      <c r="AE235" s="2"/>
      <c r="AF235" s="2"/>
      <c r="AG235" s="2"/>
      <c r="AH235" s="2"/>
      <c r="AM235" s="72"/>
      <c r="AN235" s="1206"/>
      <c r="AO235" s="72"/>
      <c r="AP235" s="118"/>
      <c r="AQ235" s="8"/>
      <c r="AR235" s="8"/>
      <c r="AS235" s="8"/>
      <c r="AT235" s="8"/>
      <c r="AU235" s="8"/>
      <c r="AV235" s="72"/>
      <c r="AW235" s="72"/>
      <c r="AX235" s="72"/>
      <c r="AY235" s="72"/>
      <c r="AZ235" s="72"/>
      <c r="BA235" s="72"/>
      <c r="BB235" s="72"/>
      <c r="BC235" s="72"/>
      <c r="BD235" s="72"/>
      <c r="BE235" s="72"/>
      <c r="BF235" s="72"/>
      <c r="BG235" s="72"/>
      <c r="BH235" s="72"/>
      <c r="BI235" s="72"/>
      <c r="BJ235" s="72"/>
      <c r="BK235" s="72"/>
      <c r="BL235" s="72"/>
      <c r="BM235" s="72"/>
      <c r="BN235" s="72"/>
    </row>
    <row r="236" spans="3:66" s="42" customFormat="1" ht="16.149999999999999" customHeight="1" x14ac:dyDescent="0.25">
      <c r="C236" s="60"/>
      <c r="D236" s="60"/>
      <c r="E236" s="60"/>
      <c r="F236" s="56"/>
      <c r="G236" s="65"/>
      <c r="H236" s="65"/>
      <c r="I236" s="111"/>
      <c r="J236" s="111"/>
      <c r="K236" s="121"/>
      <c r="L236" s="121"/>
      <c r="M236" s="124"/>
      <c r="N236" s="121"/>
      <c r="O236" s="123"/>
      <c r="P236" s="123"/>
      <c r="Q236" s="65"/>
      <c r="R236" s="2"/>
      <c r="S236" s="2"/>
      <c r="T236" s="2"/>
      <c r="U236" s="2"/>
      <c r="V236" s="60"/>
      <c r="W236" s="240"/>
      <c r="X236" s="60"/>
      <c r="Y236" s="2"/>
      <c r="Z236" s="2"/>
      <c r="AA236" s="2"/>
      <c r="AC236" s="107"/>
      <c r="AD236" s="2"/>
      <c r="AE236" s="2"/>
      <c r="AF236" s="2"/>
      <c r="AG236" s="2"/>
      <c r="AH236" s="2"/>
      <c r="AM236" s="72"/>
      <c r="AN236" s="1206"/>
      <c r="AO236" s="72"/>
      <c r="AP236" s="118"/>
      <c r="AQ236" s="8"/>
      <c r="AR236" s="8"/>
      <c r="AS236" s="8"/>
      <c r="AT236" s="8"/>
      <c r="AU236" s="8"/>
      <c r="AV236" s="72"/>
      <c r="AW236" s="72"/>
      <c r="AX236" s="72"/>
      <c r="AY236" s="72"/>
      <c r="AZ236" s="72"/>
      <c r="BA236" s="72"/>
      <c r="BB236" s="72"/>
      <c r="BC236" s="72"/>
      <c r="BD236" s="72"/>
      <c r="BE236" s="72"/>
      <c r="BF236" s="72"/>
      <c r="BG236" s="72"/>
      <c r="BH236" s="72"/>
      <c r="BI236" s="72"/>
      <c r="BJ236" s="72"/>
      <c r="BK236" s="72"/>
      <c r="BL236" s="72"/>
      <c r="BM236" s="72"/>
      <c r="BN236" s="72"/>
    </row>
    <row r="237" spans="3:66" s="42" customFormat="1" ht="16.149999999999999" customHeight="1" x14ac:dyDescent="0.25">
      <c r="C237" s="60"/>
      <c r="D237" s="60"/>
      <c r="E237" s="60"/>
      <c r="F237" s="56"/>
      <c r="G237" s="65"/>
      <c r="H237" s="65"/>
      <c r="I237" s="111"/>
      <c r="J237" s="111"/>
      <c r="K237" s="121"/>
      <c r="L237" s="121"/>
      <c r="M237" s="124"/>
      <c r="N237" s="121"/>
      <c r="O237" s="123"/>
      <c r="P237" s="123"/>
      <c r="Q237" s="65"/>
      <c r="R237" s="2"/>
      <c r="S237" s="2"/>
      <c r="T237" s="2"/>
      <c r="U237" s="2"/>
      <c r="V237" s="60"/>
      <c r="W237" s="240"/>
      <c r="X237" s="60"/>
      <c r="Y237" s="2"/>
      <c r="Z237" s="2"/>
      <c r="AA237" s="2"/>
      <c r="AC237" s="107"/>
      <c r="AD237" s="2"/>
      <c r="AE237" s="2"/>
      <c r="AF237" s="2"/>
      <c r="AG237" s="2"/>
      <c r="AH237" s="2"/>
      <c r="AM237" s="72"/>
      <c r="AN237" s="1206"/>
      <c r="AO237" s="72"/>
      <c r="AP237" s="118"/>
      <c r="AQ237" s="8"/>
      <c r="AR237" s="8"/>
      <c r="AS237" s="8"/>
      <c r="AT237" s="8"/>
      <c r="AU237" s="8"/>
      <c r="AV237" s="72"/>
      <c r="AW237" s="72"/>
      <c r="AX237" s="72"/>
      <c r="AY237" s="72"/>
      <c r="AZ237" s="72"/>
      <c r="BA237" s="72"/>
      <c r="BB237" s="72"/>
      <c r="BC237" s="72"/>
      <c r="BD237" s="72"/>
      <c r="BE237" s="72"/>
      <c r="BF237" s="72"/>
      <c r="BG237" s="72"/>
      <c r="BH237" s="72"/>
      <c r="BI237" s="72"/>
      <c r="BJ237" s="72"/>
      <c r="BK237" s="72"/>
      <c r="BL237" s="72"/>
      <c r="BM237" s="72"/>
      <c r="BN237" s="72"/>
    </row>
    <row r="238" spans="3:66" s="42" customFormat="1" ht="16.149999999999999" customHeight="1" x14ac:dyDescent="0.25">
      <c r="C238" s="60"/>
      <c r="D238" s="60"/>
      <c r="E238" s="60"/>
      <c r="F238" s="56"/>
      <c r="G238" s="65"/>
      <c r="H238" s="65"/>
      <c r="I238" s="111"/>
      <c r="J238" s="111"/>
      <c r="K238" s="121"/>
      <c r="L238" s="121"/>
      <c r="M238" s="124"/>
      <c r="N238" s="121"/>
      <c r="O238" s="123"/>
      <c r="P238" s="123"/>
      <c r="Q238" s="65"/>
      <c r="R238" s="2"/>
      <c r="S238" s="2"/>
      <c r="T238" s="2"/>
      <c r="U238" s="2"/>
      <c r="V238" s="60"/>
      <c r="W238" s="240"/>
      <c r="X238" s="60"/>
      <c r="Y238" s="2"/>
      <c r="Z238" s="2"/>
      <c r="AA238" s="2"/>
      <c r="AC238" s="107"/>
      <c r="AD238" s="2"/>
      <c r="AE238" s="2"/>
      <c r="AF238" s="2"/>
      <c r="AG238" s="2"/>
      <c r="AH238" s="2"/>
      <c r="AM238" s="72"/>
      <c r="AN238" s="1206"/>
      <c r="AO238" s="72"/>
      <c r="AP238" s="118"/>
      <c r="AQ238" s="8"/>
      <c r="AR238" s="8"/>
      <c r="AS238" s="8"/>
      <c r="AT238" s="8"/>
      <c r="AU238" s="8"/>
      <c r="AV238" s="72"/>
      <c r="AW238" s="72"/>
      <c r="AX238" s="72"/>
      <c r="AY238" s="72"/>
      <c r="AZ238" s="72"/>
      <c r="BA238" s="72"/>
      <c r="BB238" s="72"/>
      <c r="BC238" s="72"/>
      <c r="BD238" s="72"/>
      <c r="BE238" s="72"/>
      <c r="BF238" s="72"/>
      <c r="BG238" s="72"/>
      <c r="BH238" s="72"/>
      <c r="BI238" s="72"/>
      <c r="BJ238" s="72"/>
      <c r="BK238" s="72"/>
      <c r="BL238" s="72"/>
      <c r="BM238" s="72"/>
      <c r="BN238" s="72"/>
    </row>
    <row r="239" spans="3:66" s="42" customFormat="1" ht="16.149999999999999" customHeight="1" x14ac:dyDescent="0.25">
      <c r="C239" s="60"/>
      <c r="D239" s="60"/>
      <c r="E239" s="60"/>
      <c r="F239" s="56"/>
      <c r="G239" s="65"/>
      <c r="H239" s="65"/>
      <c r="I239" s="111"/>
      <c r="J239" s="111"/>
      <c r="K239" s="121"/>
      <c r="L239" s="121"/>
      <c r="M239" s="124"/>
      <c r="N239" s="121"/>
      <c r="O239" s="123"/>
      <c r="P239" s="123"/>
      <c r="Q239" s="65"/>
      <c r="R239" s="2"/>
      <c r="S239" s="2"/>
      <c r="T239" s="2"/>
      <c r="U239" s="2"/>
      <c r="V239" s="60"/>
      <c r="W239" s="240"/>
      <c r="X239" s="60"/>
      <c r="Y239" s="2"/>
      <c r="Z239" s="2"/>
      <c r="AA239" s="2"/>
      <c r="AC239" s="107"/>
      <c r="AD239" s="2"/>
      <c r="AE239" s="2"/>
      <c r="AF239" s="2"/>
      <c r="AG239" s="2"/>
      <c r="AH239" s="2"/>
      <c r="AM239" s="72"/>
      <c r="AN239" s="1206"/>
      <c r="AO239" s="72"/>
      <c r="AP239" s="118"/>
      <c r="AQ239" s="8"/>
      <c r="AR239" s="8"/>
      <c r="AS239" s="8"/>
      <c r="AT239" s="8"/>
      <c r="AU239" s="8"/>
      <c r="AV239" s="72"/>
      <c r="AW239" s="72"/>
      <c r="AX239" s="72"/>
      <c r="AY239" s="72"/>
      <c r="AZ239" s="72"/>
      <c r="BA239" s="72"/>
      <c r="BB239" s="72"/>
      <c r="BC239" s="72"/>
      <c r="BD239" s="72"/>
      <c r="BE239" s="72"/>
      <c r="BF239" s="72"/>
      <c r="BG239" s="72"/>
      <c r="BH239" s="72"/>
      <c r="BI239" s="72"/>
      <c r="BJ239" s="72"/>
      <c r="BK239" s="72"/>
      <c r="BL239" s="72"/>
      <c r="BM239" s="72"/>
      <c r="BN239" s="72"/>
    </row>
    <row r="240" spans="3:66" s="42" customFormat="1" ht="16.149999999999999" customHeight="1" x14ac:dyDescent="0.25">
      <c r="C240" s="60"/>
      <c r="D240" s="60"/>
      <c r="E240" s="60"/>
      <c r="F240" s="56"/>
      <c r="G240" s="65"/>
      <c r="H240" s="65"/>
      <c r="I240" s="111"/>
      <c r="J240" s="111"/>
      <c r="K240" s="121"/>
      <c r="L240" s="121"/>
      <c r="M240" s="124"/>
      <c r="N240" s="121"/>
      <c r="O240" s="123"/>
      <c r="P240" s="123"/>
      <c r="Q240" s="65"/>
      <c r="R240" s="2"/>
      <c r="S240" s="2"/>
      <c r="T240" s="2"/>
      <c r="U240" s="2"/>
      <c r="V240" s="60"/>
      <c r="W240" s="240"/>
      <c r="X240" s="60"/>
      <c r="Y240" s="2"/>
      <c r="Z240" s="2"/>
      <c r="AA240" s="2"/>
      <c r="AC240" s="107"/>
      <c r="AD240" s="2"/>
      <c r="AE240" s="2"/>
      <c r="AF240" s="2"/>
      <c r="AG240" s="2"/>
      <c r="AH240" s="2"/>
      <c r="AM240" s="72"/>
      <c r="AN240" s="1206"/>
      <c r="AO240" s="72"/>
      <c r="AP240" s="118"/>
      <c r="AQ240" s="8"/>
      <c r="AR240" s="8"/>
      <c r="AS240" s="8"/>
      <c r="AT240" s="8"/>
      <c r="AU240" s="8"/>
      <c r="AV240" s="72"/>
      <c r="AW240" s="72"/>
      <c r="AX240" s="72"/>
      <c r="AY240" s="72"/>
      <c r="AZ240" s="72"/>
      <c r="BA240" s="72"/>
      <c r="BB240" s="72"/>
      <c r="BC240" s="72"/>
      <c r="BD240" s="72"/>
      <c r="BE240" s="72"/>
      <c r="BF240" s="72"/>
      <c r="BG240" s="72"/>
      <c r="BH240" s="72"/>
      <c r="BI240" s="72"/>
      <c r="BJ240" s="72"/>
      <c r="BK240" s="72"/>
      <c r="BL240" s="72"/>
      <c r="BM240" s="72"/>
      <c r="BN240" s="72"/>
    </row>
    <row r="241" spans="3:66" s="42" customFormat="1" ht="16.149999999999999" customHeight="1" x14ac:dyDescent="0.25">
      <c r="C241" s="60"/>
      <c r="D241" s="60"/>
      <c r="E241" s="60"/>
      <c r="F241" s="56"/>
      <c r="G241" s="65"/>
      <c r="H241" s="65"/>
      <c r="I241" s="111"/>
      <c r="J241" s="111"/>
      <c r="K241" s="121"/>
      <c r="L241" s="121"/>
      <c r="M241" s="124"/>
      <c r="N241" s="121"/>
      <c r="O241" s="123"/>
      <c r="P241" s="123"/>
      <c r="Q241" s="65"/>
      <c r="R241" s="2"/>
      <c r="S241" s="2"/>
      <c r="T241" s="2"/>
      <c r="U241" s="2"/>
      <c r="V241" s="60"/>
      <c r="W241" s="240"/>
      <c r="X241" s="60"/>
      <c r="Y241" s="2"/>
      <c r="Z241" s="2"/>
      <c r="AA241" s="2"/>
      <c r="AC241" s="107"/>
      <c r="AD241" s="2"/>
      <c r="AE241" s="2"/>
      <c r="AF241" s="2"/>
      <c r="AG241" s="2"/>
      <c r="AH241" s="2"/>
      <c r="AM241" s="72"/>
      <c r="AN241" s="1206"/>
      <c r="AO241" s="72"/>
      <c r="AP241" s="118"/>
      <c r="AQ241" s="8"/>
      <c r="AR241" s="8"/>
      <c r="AS241" s="8"/>
      <c r="AT241" s="8"/>
      <c r="AU241" s="8"/>
      <c r="AV241" s="72"/>
      <c r="AW241" s="72"/>
      <c r="AX241" s="72"/>
      <c r="AY241" s="72"/>
      <c r="AZ241" s="72"/>
      <c r="BA241" s="72"/>
      <c r="BB241" s="72"/>
      <c r="BC241" s="72"/>
      <c r="BD241" s="72"/>
      <c r="BE241" s="72"/>
      <c r="BF241" s="72"/>
      <c r="BG241" s="72"/>
      <c r="BH241" s="72"/>
      <c r="BI241" s="72"/>
      <c r="BJ241" s="72"/>
      <c r="BK241" s="72"/>
      <c r="BL241" s="72"/>
      <c r="BM241" s="72"/>
      <c r="BN241" s="72"/>
    </row>
    <row r="242" spans="3:66" s="42" customFormat="1" ht="16.149999999999999" customHeight="1" x14ac:dyDescent="0.25">
      <c r="C242" s="60"/>
      <c r="D242" s="60"/>
      <c r="E242" s="60"/>
      <c r="F242" s="56"/>
      <c r="G242" s="65"/>
      <c r="H242" s="65"/>
      <c r="I242" s="111"/>
      <c r="J242" s="111"/>
      <c r="K242" s="121"/>
      <c r="L242" s="121"/>
      <c r="M242" s="124"/>
      <c r="N242" s="121"/>
      <c r="O242" s="123"/>
      <c r="P242" s="123"/>
      <c r="Q242" s="65"/>
      <c r="R242" s="2"/>
      <c r="S242" s="2"/>
      <c r="T242" s="2"/>
      <c r="U242" s="2"/>
      <c r="V242" s="60"/>
      <c r="W242" s="240"/>
      <c r="X242" s="60"/>
      <c r="Y242" s="2"/>
      <c r="Z242" s="2"/>
      <c r="AA242" s="2"/>
      <c r="AC242" s="107"/>
      <c r="AD242" s="2"/>
      <c r="AE242" s="2"/>
      <c r="AF242" s="2"/>
      <c r="AG242" s="2"/>
      <c r="AH242" s="2"/>
      <c r="AM242" s="72"/>
      <c r="AN242" s="1206"/>
      <c r="AO242" s="72"/>
      <c r="AP242" s="118"/>
      <c r="AQ242" s="8"/>
      <c r="AR242" s="8"/>
      <c r="AS242" s="8"/>
      <c r="AT242" s="8"/>
      <c r="AU242" s="8"/>
      <c r="AV242" s="72"/>
      <c r="AW242" s="72"/>
      <c r="AX242" s="72"/>
      <c r="AY242" s="72"/>
      <c r="AZ242" s="72"/>
      <c r="BA242" s="72"/>
      <c r="BB242" s="72"/>
      <c r="BC242" s="72"/>
      <c r="BD242" s="72"/>
      <c r="BE242" s="72"/>
      <c r="BF242" s="72"/>
      <c r="BG242" s="72"/>
      <c r="BH242" s="72"/>
      <c r="BI242" s="72"/>
      <c r="BJ242" s="72"/>
      <c r="BK242" s="72"/>
      <c r="BL242" s="72"/>
      <c r="BM242" s="72"/>
      <c r="BN242" s="72"/>
    </row>
    <row r="243" spans="3:66" ht="16.149999999999999" customHeight="1" x14ac:dyDescent="0.25">
      <c r="F243" s="56"/>
      <c r="AB243" s="2"/>
      <c r="AI243" s="42"/>
      <c r="AJ243" s="42"/>
      <c r="AK243" s="42"/>
      <c r="AL243" s="42"/>
      <c r="AQ243" s="8"/>
      <c r="AR243" s="8"/>
      <c r="AS243" s="8"/>
      <c r="AT243" s="8"/>
      <c r="AU243" s="8"/>
    </row>
    <row r="244" spans="3:66" s="42" customFormat="1" ht="16.149999999999999" customHeight="1" x14ac:dyDescent="0.25">
      <c r="C244" s="60"/>
      <c r="D244" s="60"/>
      <c r="E244" s="60"/>
      <c r="F244" s="65"/>
      <c r="G244" s="65"/>
      <c r="H244" s="65"/>
      <c r="I244" s="111"/>
      <c r="J244" s="111"/>
      <c r="K244" s="121"/>
      <c r="L244" s="121"/>
      <c r="M244" s="124"/>
      <c r="N244" s="121"/>
      <c r="O244" s="123"/>
      <c r="P244" s="123"/>
      <c r="Q244" s="65"/>
      <c r="R244" s="2"/>
      <c r="S244" s="2"/>
      <c r="T244" s="2"/>
      <c r="U244" s="2"/>
      <c r="V244" s="60"/>
      <c r="W244" s="240"/>
      <c r="X244" s="60"/>
      <c r="Y244" s="2"/>
      <c r="Z244" s="2"/>
      <c r="AA244" s="2"/>
      <c r="AC244" s="107"/>
      <c r="AD244" s="2"/>
      <c r="AE244" s="2"/>
      <c r="AF244" s="2"/>
      <c r="AG244" s="2"/>
      <c r="AH244" s="2"/>
      <c r="AM244" s="72"/>
      <c r="AN244" s="1206"/>
      <c r="AO244" s="72"/>
      <c r="AP244" s="118"/>
      <c r="AQ244" s="8"/>
      <c r="AR244" s="8"/>
      <c r="AS244" s="8"/>
      <c r="AT244" s="8"/>
      <c r="AU244" s="8"/>
      <c r="AV244" s="72"/>
      <c r="AW244" s="72"/>
      <c r="AX244" s="72"/>
      <c r="AY244" s="72"/>
      <c r="AZ244" s="72"/>
      <c r="BA244" s="72"/>
      <c r="BB244" s="72"/>
      <c r="BC244" s="72"/>
      <c r="BD244" s="72"/>
      <c r="BE244" s="72"/>
      <c r="BF244" s="72"/>
      <c r="BG244" s="72"/>
      <c r="BH244" s="72"/>
      <c r="BI244" s="72"/>
      <c r="BJ244" s="72"/>
      <c r="BK244" s="72"/>
      <c r="BL244" s="72"/>
      <c r="BM244" s="72"/>
      <c r="BN244" s="72"/>
    </row>
    <row r="245" spans="3:66" s="42" customFormat="1" ht="16.149999999999999" customHeight="1" x14ac:dyDescent="0.25">
      <c r="C245" s="60"/>
      <c r="D245" s="60"/>
      <c r="E245" s="60"/>
      <c r="F245" s="129"/>
      <c r="G245" s="65"/>
      <c r="H245" s="65"/>
      <c r="I245" s="111"/>
      <c r="J245" s="111"/>
      <c r="K245" s="121"/>
      <c r="L245" s="121"/>
      <c r="M245" s="124"/>
      <c r="N245" s="121"/>
      <c r="O245" s="123"/>
      <c r="P245" s="123"/>
      <c r="Q245" s="65"/>
      <c r="R245" s="2"/>
      <c r="S245" s="2"/>
      <c r="T245" s="2"/>
      <c r="U245" s="2"/>
      <c r="V245" s="60"/>
      <c r="W245" s="240"/>
      <c r="X245" s="60"/>
      <c r="Y245" s="2"/>
      <c r="Z245" s="2"/>
      <c r="AA245" s="2"/>
      <c r="AC245" s="107"/>
      <c r="AD245" s="2"/>
      <c r="AE245" s="2"/>
      <c r="AF245" s="2"/>
      <c r="AG245" s="2"/>
      <c r="AH245" s="2"/>
      <c r="AM245" s="72"/>
      <c r="AN245" s="1206"/>
      <c r="AO245" s="72"/>
      <c r="AP245" s="118"/>
      <c r="AQ245" s="8"/>
      <c r="AR245" s="8"/>
      <c r="AS245" s="8"/>
      <c r="AT245" s="8"/>
      <c r="AU245" s="8"/>
      <c r="AV245" s="72"/>
      <c r="AW245" s="72"/>
      <c r="AX245" s="72"/>
      <c r="AY245" s="72"/>
      <c r="AZ245" s="72"/>
      <c r="BA245" s="72"/>
      <c r="BB245" s="72"/>
      <c r="BC245" s="72"/>
      <c r="BD245" s="72"/>
      <c r="BE245" s="72"/>
      <c r="BF245" s="72"/>
      <c r="BG245" s="72"/>
      <c r="BH245" s="72"/>
      <c r="BI245" s="72"/>
      <c r="BJ245" s="72"/>
      <c r="BK245" s="72"/>
      <c r="BL245" s="72"/>
      <c r="BM245" s="72"/>
      <c r="BN245" s="72"/>
    </row>
    <row r="246" spans="3:66" ht="16.149999999999999" customHeight="1" x14ac:dyDescent="0.25">
      <c r="F246" s="56"/>
      <c r="AB246" s="2"/>
      <c r="AI246" s="42"/>
      <c r="AJ246" s="42"/>
      <c r="AK246" s="42"/>
      <c r="AL246" s="42"/>
      <c r="AQ246" s="8"/>
      <c r="AR246" s="8"/>
      <c r="AS246" s="8"/>
      <c r="AT246" s="8"/>
      <c r="AU246" s="8"/>
    </row>
    <row r="247" spans="3:66" s="42" customFormat="1" ht="16.149999999999999" customHeight="1" x14ac:dyDescent="0.25">
      <c r="C247" s="60"/>
      <c r="D247" s="60"/>
      <c r="E247" s="60"/>
      <c r="F247" s="56"/>
      <c r="G247" s="65"/>
      <c r="H247" s="65"/>
      <c r="I247" s="111"/>
      <c r="J247" s="111"/>
      <c r="K247" s="121"/>
      <c r="L247" s="121"/>
      <c r="M247" s="124"/>
      <c r="N247" s="121"/>
      <c r="O247" s="123"/>
      <c r="P247" s="123"/>
      <c r="Q247" s="65"/>
      <c r="R247" s="2"/>
      <c r="S247" s="2"/>
      <c r="T247" s="2"/>
      <c r="U247" s="2"/>
      <c r="V247" s="60"/>
      <c r="W247" s="240"/>
      <c r="X247" s="60"/>
      <c r="Y247" s="2"/>
      <c r="Z247" s="2"/>
      <c r="AA247" s="2"/>
      <c r="AC247" s="107"/>
      <c r="AD247" s="2"/>
      <c r="AE247" s="2"/>
      <c r="AF247" s="2"/>
      <c r="AG247" s="2"/>
      <c r="AH247" s="2"/>
      <c r="AM247" s="72"/>
      <c r="AN247" s="1206"/>
      <c r="AO247" s="72"/>
      <c r="AP247" s="118"/>
      <c r="AQ247" s="8"/>
      <c r="AR247" s="8"/>
      <c r="AS247" s="8"/>
      <c r="AT247" s="8"/>
      <c r="AU247" s="8"/>
      <c r="AV247" s="72"/>
      <c r="AW247" s="72"/>
      <c r="AX247" s="72"/>
      <c r="AY247" s="72"/>
      <c r="AZ247" s="72"/>
      <c r="BA247" s="72"/>
      <c r="BB247" s="72"/>
      <c r="BC247" s="72"/>
      <c r="BD247" s="72"/>
      <c r="BE247" s="72"/>
      <c r="BF247" s="72"/>
      <c r="BG247" s="72"/>
      <c r="BH247" s="72"/>
      <c r="BI247" s="72"/>
      <c r="BJ247" s="72"/>
      <c r="BK247" s="72"/>
      <c r="BL247" s="72"/>
      <c r="BM247" s="72"/>
      <c r="BN247" s="72"/>
    </row>
    <row r="248" spans="3:66" s="42" customFormat="1" ht="16.149999999999999" customHeight="1" x14ac:dyDescent="0.25">
      <c r="C248" s="60"/>
      <c r="D248" s="60"/>
      <c r="E248" s="60"/>
      <c r="F248" s="56"/>
      <c r="G248" s="65"/>
      <c r="H248" s="65"/>
      <c r="I248" s="111"/>
      <c r="J248" s="111"/>
      <c r="K248" s="121"/>
      <c r="L248" s="121"/>
      <c r="M248" s="124"/>
      <c r="N248" s="121"/>
      <c r="O248" s="123"/>
      <c r="P248" s="123"/>
      <c r="Q248" s="65"/>
      <c r="R248" s="2"/>
      <c r="S248" s="2"/>
      <c r="T248" s="2"/>
      <c r="U248" s="2"/>
      <c r="V248" s="60"/>
      <c r="W248" s="240"/>
      <c r="X248" s="60"/>
      <c r="Y248" s="2"/>
      <c r="Z248" s="2"/>
      <c r="AA248" s="2"/>
      <c r="AC248" s="107"/>
      <c r="AD248" s="2"/>
      <c r="AE248" s="2"/>
      <c r="AF248" s="2"/>
      <c r="AG248" s="2"/>
      <c r="AH248" s="2"/>
      <c r="AM248" s="72"/>
      <c r="AN248" s="1206"/>
      <c r="AO248" s="72"/>
      <c r="AP248" s="118"/>
      <c r="AQ248" s="8"/>
      <c r="AR248" s="8"/>
      <c r="AS248" s="8"/>
      <c r="AT248" s="8"/>
      <c r="AU248" s="8"/>
      <c r="AV248" s="72"/>
      <c r="AW248" s="72"/>
      <c r="AX248" s="72"/>
      <c r="AY248" s="72"/>
      <c r="AZ248" s="72"/>
      <c r="BA248" s="72"/>
      <c r="BB248" s="72"/>
      <c r="BC248" s="72"/>
      <c r="BD248" s="72"/>
      <c r="BE248" s="72"/>
      <c r="BF248" s="72"/>
      <c r="BG248" s="72"/>
      <c r="BH248" s="72"/>
      <c r="BI248" s="72"/>
      <c r="BJ248" s="72"/>
      <c r="BK248" s="72"/>
      <c r="BL248" s="72"/>
      <c r="BM248" s="72"/>
      <c r="BN248" s="72"/>
    </row>
    <row r="249" spans="3:66" s="42" customFormat="1" ht="16.149999999999999" customHeight="1" x14ac:dyDescent="0.25">
      <c r="C249" s="60"/>
      <c r="D249" s="60"/>
      <c r="E249" s="60"/>
      <c r="F249" s="56"/>
      <c r="G249" s="65"/>
      <c r="H249" s="65"/>
      <c r="I249" s="111"/>
      <c r="J249" s="111"/>
      <c r="K249" s="121"/>
      <c r="L249" s="121"/>
      <c r="M249" s="124"/>
      <c r="N249" s="121"/>
      <c r="O249" s="123"/>
      <c r="P249" s="123"/>
      <c r="Q249" s="65"/>
      <c r="R249" s="2"/>
      <c r="S249" s="2"/>
      <c r="T249" s="2"/>
      <c r="U249" s="2"/>
      <c r="V249" s="60"/>
      <c r="W249" s="240"/>
      <c r="X249" s="60"/>
      <c r="Y249" s="2"/>
      <c r="Z249" s="2"/>
      <c r="AA249" s="2"/>
      <c r="AC249" s="107"/>
      <c r="AD249" s="2"/>
      <c r="AE249" s="2"/>
      <c r="AF249" s="2"/>
      <c r="AG249" s="2"/>
      <c r="AH249" s="2"/>
      <c r="AM249" s="72"/>
      <c r="AN249" s="1206"/>
      <c r="AO249" s="72"/>
      <c r="AP249" s="118"/>
      <c r="AQ249" s="8"/>
      <c r="AR249" s="8"/>
      <c r="AS249" s="72"/>
      <c r="AT249" s="8"/>
      <c r="AU249" s="8"/>
      <c r="AV249" s="72"/>
      <c r="AW249" s="72"/>
      <c r="AX249" s="72"/>
      <c r="AY249" s="72"/>
      <c r="AZ249" s="72"/>
      <c r="BA249" s="72"/>
      <c r="BB249" s="72"/>
      <c r="BC249" s="72"/>
      <c r="BD249" s="72"/>
      <c r="BE249" s="72"/>
      <c r="BF249" s="72"/>
      <c r="BG249" s="72"/>
      <c r="BH249" s="72"/>
      <c r="BI249" s="72"/>
      <c r="BJ249" s="72"/>
      <c r="BK249" s="72"/>
      <c r="BL249" s="72"/>
      <c r="BM249" s="72"/>
      <c r="BN249" s="72"/>
    </row>
    <row r="250" spans="3:66" ht="16.149999999999999" customHeight="1" x14ac:dyDescent="0.25">
      <c r="F250" s="56"/>
      <c r="AB250" s="2"/>
      <c r="AI250" s="42"/>
      <c r="AJ250" s="42"/>
      <c r="AK250" s="42"/>
      <c r="AL250" s="42"/>
      <c r="AQ250" s="8"/>
      <c r="AR250" s="8"/>
      <c r="AS250" s="44"/>
      <c r="AT250" s="8"/>
      <c r="AU250" s="8"/>
    </row>
    <row r="251" spans="3:66" s="42" customFormat="1" ht="16.149999999999999" customHeight="1" x14ac:dyDescent="0.25">
      <c r="C251" s="60"/>
      <c r="D251" s="60"/>
      <c r="E251" s="60"/>
      <c r="F251" s="56"/>
      <c r="G251" s="65"/>
      <c r="H251" s="65"/>
      <c r="I251" s="111"/>
      <c r="J251" s="111"/>
      <c r="K251" s="121"/>
      <c r="L251" s="121"/>
      <c r="M251" s="124"/>
      <c r="N251" s="121"/>
      <c r="O251" s="123"/>
      <c r="P251" s="123"/>
      <c r="Q251" s="65"/>
      <c r="R251" s="2"/>
      <c r="S251" s="2"/>
      <c r="T251" s="2"/>
      <c r="U251" s="2"/>
      <c r="V251" s="60"/>
      <c r="W251" s="240"/>
      <c r="X251" s="60"/>
      <c r="Y251" s="2"/>
      <c r="Z251" s="2"/>
      <c r="AA251" s="2"/>
      <c r="AC251" s="107"/>
      <c r="AD251" s="2"/>
      <c r="AE251" s="2"/>
      <c r="AF251" s="2"/>
      <c r="AG251" s="2"/>
      <c r="AH251" s="2"/>
      <c r="AM251" s="72"/>
      <c r="AN251" s="1206"/>
      <c r="AO251" s="72"/>
      <c r="AP251" s="118"/>
      <c r="AQ251" s="8"/>
      <c r="AR251" s="8"/>
      <c r="AS251" s="8"/>
      <c r="AT251" s="8"/>
      <c r="AU251" s="8"/>
      <c r="AV251" s="72"/>
      <c r="AW251" s="72"/>
      <c r="AX251" s="72"/>
      <c r="AY251" s="72"/>
      <c r="AZ251" s="72"/>
      <c r="BA251" s="72"/>
      <c r="BB251" s="72"/>
      <c r="BC251" s="72"/>
      <c r="BD251" s="72"/>
      <c r="BE251" s="72"/>
      <c r="BF251" s="72"/>
      <c r="BG251" s="72"/>
      <c r="BH251" s="72"/>
      <c r="BI251" s="72"/>
      <c r="BJ251" s="72"/>
      <c r="BK251" s="72"/>
      <c r="BL251" s="72"/>
      <c r="BM251" s="72"/>
      <c r="BN251" s="72"/>
    </row>
    <row r="252" spans="3:66" s="42" customFormat="1" ht="16.149999999999999" customHeight="1" x14ac:dyDescent="0.25">
      <c r="C252" s="60"/>
      <c r="D252" s="60"/>
      <c r="E252" s="60"/>
      <c r="F252" s="65"/>
      <c r="G252" s="65"/>
      <c r="H252" s="65"/>
      <c r="I252" s="111"/>
      <c r="J252" s="111"/>
      <c r="K252" s="121"/>
      <c r="L252" s="121"/>
      <c r="M252" s="124"/>
      <c r="N252" s="121"/>
      <c r="O252" s="123"/>
      <c r="P252" s="123"/>
      <c r="Q252" s="65"/>
      <c r="R252" s="2"/>
      <c r="S252" s="2"/>
      <c r="T252" s="2"/>
      <c r="U252" s="2"/>
      <c r="V252" s="60"/>
      <c r="W252" s="240"/>
      <c r="X252" s="60"/>
      <c r="Y252" s="2"/>
      <c r="Z252" s="2"/>
      <c r="AA252" s="2"/>
      <c r="AC252" s="107"/>
      <c r="AD252" s="2"/>
      <c r="AE252" s="2"/>
      <c r="AF252" s="2"/>
      <c r="AG252" s="2"/>
      <c r="AH252" s="2"/>
      <c r="AM252" s="72"/>
      <c r="AN252" s="1206"/>
      <c r="AO252" s="72"/>
      <c r="AP252" s="118"/>
      <c r="AQ252" s="8"/>
      <c r="AR252" s="8"/>
      <c r="AS252" s="44"/>
      <c r="AT252" s="72"/>
      <c r="AU252" s="72"/>
      <c r="AV252" s="72"/>
      <c r="AW252" s="72"/>
      <c r="AX252" s="72"/>
      <c r="AY252" s="72"/>
      <c r="AZ252" s="72"/>
      <c r="BA252" s="72"/>
      <c r="BB252" s="72"/>
      <c r="BC252" s="72"/>
      <c r="BD252" s="72"/>
      <c r="BE252" s="72"/>
      <c r="BF252" s="72"/>
      <c r="BG252" s="72"/>
      <c r="BH252" s="72"/>
      <c r="BI252" s="72"/>
      <c r="BJ252" s="72"/>
      <c r="BK252" s="72"/>
      <c r="BL252" s="72"/>
      <c r="BM252" s="72"/>
      <c r="BN252" s="72"/>
    </row>
    <row r="253" spans="3:66" s="42" customFormat="1" ht="16.149999999999999" customHeight="1" x14ac:dyDescent="0.25">
      <c r="C253" s="60"/>
      <c r="D253" s="60"/>
      <c r="E253" s="60"/>
      <c r="F253" s="56"/>
      <c r="G253" s="65"/>
      <c r="H253" s="65"/>
      <c r="I253" s="111"/>
      <c r="J253" s="111"/>
      <c r="K253" s="121"/>
      <c r="L253" s="121"/>
      <c r="M253" s="124"/>
      <c r="N253" s="121"/>
      <c r="O253" s="123"/>
      <c r="P253" s="123"/>
      <c r="Q253" s="65"/>
      <c r="R253" s="2"/>
      <c r="S253" s="2"/>
      <c r="T253" s="2"/>
      <c r="U253" s="2"/>
      <c r="V253" s="60"/>
      <c r="W253" s="240"/>
      <c r="X253" s="60"/>
      <c r="Y253" s="2"/>
      <c r="Z253" s="2"/>
      <c r="AA253" s="2"/>
      <c r="AC253" s="107"/>
      <c r="AD253" s="2"/>
      <c r="AE253" s="2"/>
      <c r="AF253" s="2"/>
      <c r="AG253" s="2"/>
      <c r="AH253" s="2"/>
      <c r="AM253" s="72"/>
      <c r="AN253" s="1206"/>
      <c r="AO253" s="72"/>
      <c r="AP253" s="118"/>
      <c r="AQ253" s="8"/>
      <c r="AR253" s="8"/>
      <c r="AS253" s="72"/>
      <c r="AT253" s="72"/>
      <c r="AU253" s="72"/>
      <c r="AV253" s="72"/>
      <c r="AW253" s="72"/>
      <c r="AX253" s="72"/>
      <c r="AY253" s="72"/>
      <c r="AZ253" s="72"/>
      <c r="BA253" s="72"/>
      <c r="BB253" s="72"/>
      <c r="BC253" s="72"/>
      <c r="BD253" s="72"/>
      <c r="BE253" s="72"/>
      <c r="BF253" s="72"/>
      <c r="BG253" s="72"/>
      <c r="BH253" s="72"/>
      <c r="BI253" s="72"/>
      <c r="BJ253" s="72"/>
      <c r="BK253" s="72"/>
      <c r="BL253" s="72"/>
      <c r="BM253" s="72"/>
      <c r="BN253" s="72"/>
    </row>
    <row r="254" spans="3:66" s="42" customFormat="1" ht="16.149999999999999" customHeight="1" x14ac:dyDescent="0.25">
      <c r="C254" s="60"/>
      <c r="D254" s="60"/>
      <c r="E254" s="60"/>
      <c r="F254" s="65"/>
      <c r="G254" s="65"/>
      <c r="H254" s="65"/>
      <c r="I254" s="111"/>
      <c r="J254" s="111"/>
      <c r="K254" s="121"/>
      <c r="L254" s="121"/>
      <c r="M254" s="124"/>
      <c r="N254" s="121"/>
      <c r="O254" s="123"/>
      <c r="P254" s="123"/>
      <c r="Q254" s="65"/>
      <c r="R254" s="2"/>
      <c r="S254" s="2"/>
      <c r="T254" s="2"/>
      <c r="U254" s="2"/>
      <c r="V254" s="60"/>
      <c r="W254" s="240"/>
      <c r="X254" s="60"/>
      <c r="Y254" s="2"/>
      <c r="Z254" s="2"/>
      <c r="AA254" s="2"/>
      <c r="AC254" s="107"/>
      <c r="AD254" s="2"/>
      <c r="AE254" s="2"/>
      <c r="AF254" s="2"/>
      <c r="AG254" s="2"/>
      <c r="AH254" s="2"/>
      <c r="AM254" s="72"/>
      <c r="AN254" s="1206"/>
      <c r="AO254" s="72"/>
      <c r="AP254" s="118"/>
      <c r="AQ254" s="72"/>
      <c r="AR254" s="72"/>
      <c r="AS254" s="44"/>
      <c r="AT254" s="72"/>
      <c r="AU254" s="72"/>
      <c r="AV254" s="72"/>
      <c r="AW254" s="72"/>
      <c r="AX254" s="72"/>
      <c r="AY254" s="72"/>
      <c r="AZ254" s="72"/>
      <c r="BA254" s="72"/>
      <c r="BB254" s="72"/>
      <c r="BC254" s="72"/>
      <c r="BD254" s="72"/>
      <c r="BE254" s="72"/>
      <c r="BF254" s="72"/>
      <c r="BG254" s="72"/>
      <c r="BH254" s="72"/>
      <c r="BI254" s="72"/>
      <c r="BJ254" s="72"/>
      <c r="BK254" s="72"/>
      <c r="BL254" s="72"/>
      <c r="BM254" s="72"/>
      <c r="BN254" s="72"/>
    </row>
    <row r="255" spans="3:66" s="42" customFormat="1" ht="16.149999999999999" customHeight="1" x14ac:dyDescent="0.25">
      <c r="C255" s="60"/>
      <c r="D255" s="60"/>
      <c r="E255" s="60"/>
      <c r="F255" s="56"/>
      <c r="G255" s="65"/>
      <c r="H255" s="65"/>
      <c r="I255" s="111"/>
      <c r="J255" s="111"/>
      <c r="K255" s="121"/>
      <c r="L255" s="121"/>
      <c r="M255" s="124"/>
      <c r="N255" s="121"/>
      <c r="O255" s="123"/>
      <c r="P255" s="123"/>
      <c r="Q255" s="65"/>
      <c r="R255" s="2"/>
      <c r="S255" s="2"/>
      <c r="T255" s="2"/>
      <c r="U255" s="2"/>
      <c r="V255" s="60"/>
      <c r="W255" s="240"/>
      <c r="X255" s="60"/>
      <c r="Y255" s="2"/>
      <c r="Z255" s="2"/>
      <c r="AA255" s="2"/>
      <c r="AC255" s="107"/>
      <c r="AD255" s="2"/>
      <c r="AE255" s="2"/>
      <c r="AF255" s="2"/>
      <c r="AG255" s="2"/>
      <c r="AH255" s="2"/>
      <c r="AM255" s="72"/>
      <c r="AN255" s="1206"/>
      <c r="AO255" s="72"/>
      <c r="AP255" s="118"/>
      <c r="AQ255" s="44"/>
      <c r="AR255" s="44"/>
      <c r="AS255" s="44"/>
      <c r="AT255" s="72"/>
      <c r="AU255" s="72"/>
      <c r="AV255" s="72"/>
      <c r="AW255" s="72"/>
      <c r="AX255" s="72"/>
      <c r="AY255" s="72"/>
      <c r="AZ255" s="72"/>
      <c r="BA255" s="72"/>
      <c r="BB255" s="72"/>
      <c r="BC255" s="72"/>
      <c r="BD255" s="72"/>
      <c r="BE255" s="72"/>
      <c r="BF255" s="72"/>
      <c r="BG255" s="72"/>
      <c r="BH255" s="72"/>
      <c r="BI255" s="72"/>
      <c r="BJ255" s="72"/>
      <c r="BK255" s="72"/>
      <c r="BL255" s="72"/>
      <c r="BM255" s="72"/>
      <c r="BN255" s="72"/>
    </row>
    <row r="256" spans="3:66" s="42" customFormat="1" ht="16.149999999999999" customHeight="1" x14ac:dyDescent="0.25">
      <c r="C256" s="60"/>
      <c r="D256" s="60"/>
      <c r="E256" s="60"/>
      <c r="F256" s="56"/>
      <c r="G256" s="65"/>
      <c r="H256" s="65"/>
      <c r="I256" s="111"/>
      <c r="J256" s="111"/>
      <c r="K256" s="121"/>
      <c r="L256" s="121"/>
      <c r="M256" s="124"/>
      <c r="N256" s="121"/>
      <c r="O256" s="123"/>
      <c r="P256" s="123"/>
      <c r="Q256" s="65"/>
      <c r="R256" s="2"/>
      <c r="S256" s="2"/>
      <c r="T256" s="2"/>
      <c r="U256" s="2"/>
      <c r="V256" s="60"/>
      <c r="W256" s="240"/>
      <c r="X256" s="60"/>
      <c r="Y256" s="2"/>
      <c r="Z256" s="2"/>
      <c r="AA256" s="2"/>
      <c r="AC256" s="107"/>
      <c r="AD256" s="2"/>
      <c r="AE256" s="2"/>
      <c r="AF256" s="2"/>
      <c r="AG256" s="2"/>
      <c r="AH256" s="2"/>
      <c r="AM256" s="72"/>
      <c r="AN256" s="1206"/>
      <c r="AO256" s="72"/>
      <c r="AP256" s="118"/>
      <c r="AQ256" s="44"/>
      <c r="AR256" s="44"/>
      <c r="AS256" s="44"/>
      <c r="AT256" s="72"/>
      <c r="AU256" s="72"/>
      <c r="AV256" s="72"/>
      <c r="AW256" s="72"/>
      <c r="AX256" s="72"/>
      <c r="AY256" s="72"/>
      <c r="AZ256" s="72"/>
      <c r="BA256" s="72"/>
      <c r="BB256" s="72"/>
      <c r="BC256" s="72"/>
      <c r="BD256" s="72"/>
      <c r="BE256" s="72"/>
      <c r="BF256" s="72"/>
      <c r="BG256" s="72"/>
      <c r="BH256" s="72"/>
      <c r="BI256" s="72"/>
      <c r="BJ256" s="72"/>
      <c r="BK256" s="72"/>
      <c r="BL256" s="72"/>
      <c r="BM256" s="72"/>
      <c r="BN256" s="72"/>
    </row>
    <row r="257" spans="3:66" s="42" customFormat="1" ht="16.149999999999999" customHeight="1" x14ac:dyDescent="0.25">
      <c r="C257" s="60"/>
      <c r="D257" s="60"/>
      <c r="E257" s="60"/>
      <c r="F257" s="56"/>
      <c r="G257" s="65"/>
      <c r="H257" s="65"/>
      <c r="I257" s="111"/>
      <c r="J257" s="111"/>
      <c r="K257" s="121"/>
      <c r="L257" s="121"/>
      <c r="M257" s="124"/>
      <c r="N257" s="121"/>
      <c r="O257" s="123"/>
      <c r="P257" s="123"/>
      <c r="Q257" s="65"/>
      <c r="R257" s="2"/>
      <c r="S257" s="2"/>
      <c r="T257" s="2"/>
      <c r="U257" s="2"/>
      <c r="V257" s="60"/>
      <c r="W257" s="240"/>
      <c r="X257" s="60"/>
      <c r="Y257" s="2"/>
      <c r="Z257" s="2"/>
      <c r="AA257" s="2"/>
      <c r="AC257" s="107"/>
      <c r="AD257" s="2"/>
      <c r="AE257" s="2"/>
      <c r="AF257" s="2"/>
      <c r="AG257" s="2"/>
      <c r="AH257" s="2"/>
      <c r="AM257" s="72"/>
      <c r="AN257" s="1206"/>
      <c r="AO257" s="72"/>
      <c r="AP257" s="118"/>
      <c r="AQ257" s="44"/>
      <c r="AR257" s="44"/>
      <c r="AS257" s="72"/>
      <c r="AT257" s="72"/>
      <c r="AU257" s="72"/>
      <c r="AV257" s="72"/>
      <c r="AW257" s="72"/>
      <c r="AX257" s="72"/>
      <c r="AY257" s="72"/>
      <c r="AZ257" s="72"/>
      <c r="BA257" s="72"/>
      <c r="BB257" s="72"/>
      <c r="BC257" s="72"/>
      <c r="BD257" s="72"/>
      <c r="BE257" s="72"/>
      <c r="BF257" s="72"/>
      <c r="BG257" s="72"/>
      <c r="BH257" s="72"/>
      <c r="BI257" s="72"/>
      <c r="BJ257" s="72"/>
      <c r="BK257" s="72"/>
      <c r="BL257" s="72"/>
      <c r="BM257" s="72"/>
      <c r="BN257" s="72"/>
    </row>
    <row r="258" spans="3:66" s="42" customFormat="1" ht="16.149999999999999" customHeight="1" x14ac:dyDescent="0.25">
      <c r="C258" s="60"/>
      <c r="D258" s="60"/>
      <c r="E258" s="60"/>
      <c r="F258" s="56"/>
      <c r="G258" s="65"/>
      <c r="H258" s="65"/>
      <c r="I258" s="111"/>
      <c r="J258" s="111"/>
      <c r="K258" s="121"/>
      <c r="L258" s="121"/>
      <c r="M258" s="124"/>
      <c r="N258" s="121"/>
      <c r="O258" s="123"/>
      <c r="P258" s="123"/>
      <c r="Q258" s="65"/>
      <c r="R258" s="2"/>
      <c r="S258" s="2"/>
      <c r="T258" s="2"/>
      <c r="U258" s="2"/>
      <c r="V258" s="60"/>
      <c r="W258" s="240"/>
      <c r="X258" s="60"/>
      <c r="Y258" s="2"/>
      <c r="Z258" s="2"/>
      <c r="AA258" s="2"/>
      <c r="AC258" s="107"/>
      <c r="AD258" s="2"/>
      <c r="AE258" s="2"/>
      <c r="AF258" s="2"/>
      <c r="AG258" s="2"/>
      <c r="AH258" s="2"/>
      <c r="AM258" s="72"/>
      <c r="AN258" s="1206"/>
      <c r="AO258" s="72"/>
      <c r="AP258" s="118"/>
      <c r="AQ258" s="44"/>
      <c r="AR258" s="44"/>
      <c r="AS258" s="44"/>
      <c r="AT258" s="72"/>
      <c r="AU258" s="72"/>
      <c r="AV258" s="72"/>
      <c r="AW258" s="72"/>
      <c r="AX258" s="72"/>
      <c r="AY258" s="72"/>
      <c r="AZ258" s="72"/>
      <c r="BA258" s="72"/>
      <c r="BB258" s="72"/>
      <c r="BC258" s="72"/>
      <c r="BD258" s="72"/>
      <c r="BE258" s="72"/>
      <c r="BF258" s="72"/>
      <c r="BG258" s="72"/>
      <c r="BH258" s="72"/>
      <c r="BI258" s="72"/>
      <c r="BJ258" s="72"/>
      <c r="BK258" s="72"/>
      <c r="BL258" s="72"/>
      <c r="BM258" s="72"/>
      <c r="BN258" s="72"/>
    </row>
    <row r="259" spans="3:66" s="42" customFormat="1" ht="16.149999999999999" customHeight="1" x14ac:dyDescent="0.25">
      <c r="C259" s="60"/>
      <c r="D259" s="60"/>
      <c r="E259" s="60"/>
      <c r="F259" s="56"/>
      <c r="G259" s="65"/>
      <c r="H259" s="65"/>
      <c r="I259" s="111"/>
      <c r="J259" s="111"/>
      <c r="K259" s="121"/>
      <c r="L259" s="121"/>
      <c r="M259" s="124"/>
      <c r="N259" s="121"/>
      <c r="O259" s="123"/>
      <c r="P259" s="123"/>
      <c r="Q259" s="65"/>
      <c r="R259" s="2"/>
      <c r="S259" s="2"/>
      <c r="T259" s="2"/>
      <c r="U259" s="2"/>
      <c r="V259" s="60"/>
      <c r="W259" s="240"/>
      <c r="X259" s="60"/>
      <c r="Y259" s="2"/>
      <c r="Z259" s="2"/>
      <c r="AA259" s="2"/>
      <c r="AC259" s="107"/>
      <c r="AD259" s="2"/>
      <c r="AE259" s="2"/>
      <c r="AF259" s="2"/>
      <c r="AG259" s="2"/>
      <c r="AH259" s="2"/>
      <c r="AM259" s="72"/>
      <c r="AN259" s="1206"/>
      <c r="AO259" s="72"/>
      <c r="AP259" s="118"/>
      <c r="AQ259" s="44"/>
      <c r="AR259" s="44"/>
      <c r="AS259" s="44"/>
      <c r="AT259" s="72"/>
      <c r="AU259" s="72"/>
      <c r="AV259" s="72"/>
      <c r="AW259" s="72"/>
      <c r="AX259" s="72"/>
      <c r="AY259" s="72"/>
      <c r="AZ259" s="72"/>
      <c r="BA259" s="72"/>
      <c r="BB259" s="72"/>
      <c r="BC259" s="72"/>
      <c r="BD259" s="72"/>
      <c r="BE259" s="72"/>
      <c r="BF259" s="72"/>
      <c r="BG259" s="72"/>
      <c r="BH259" s="72"/>
      <c r="BI259" s="72"/>
      <c r="BJ259" s="72"/>
      <c r="BK259" s="72"/>
      <c r="BL259" s="72"/>
      <c r="BM259" s="72"/>
      <c r="BN259" s="72"/>
    </row>
    <row r="260" spans="3:66" s="42" customFormat="1" ht="16.149999999999999" customHeight="1" x14ac:dyDescent="0.25">
      <c r="C260" s="60"/>
      <c r="D260" s="60"/>
      <c r="E260" s="60"/>
      <c r="F260" s="56"/>
      <c r="G260" s="65"/>
      <c r="H260" s="65"/>
      <c r="I260" s="111"/>
      <c r="J260" s="111"/>
      <c r="K260" s="121"/>
      <c r="L260" s="121"/>
      <c r="M260" s="124"/>
      <c r="N260" s="121"/>
      <c r="O260" s="123"/>
      <c r="P260" s="123"/>
      <c r="Q260" s="65"/>
      <c r="R260" s="2"/>
      <c r="S260" s="2"/>
      <c r="T260" s="2"/>
      <c r="U260" s="2"/>
      <c r="V260" s="60"/>
      <c r="W260" s="240"/>
      <c r="X260" s="60"/>
      <c r="Y260" s="2"/>
      <c r="Z260" s="2"/>
      <c r="AA260" s="2"/>
      <c r="AC260" s="107"/>
      <c r="AD260" s="2"/>
      <c r="AE260" s="2"/>
      <c r="AF260" s="2"/>
      <c r="AG260" s="2"/>
      <c r="AH260" s="2"/>
      <c r="AM260" s="72"/>
      <c r="AN260" s="1206"/>
      <c r="AO260" s="72"/>
      <c r="AP260" s="118"/>
      <c r="AQ260" s="44"/>
      <c r="AR260" s="44"/>
      <c r="AS260" s="44"/>
      <c r="AT260" s="72"/>
      <c r="AU260" s="72"/>
      <c r="AV260" s="72"/>
      <c r="AW260" s="72"/>
      <c r="AX260" s="72"/>
      <c r="AY260" s="72"/>
      <c r="AZ260" s="72"/>
      <c r="BA260" s="72"/>
      <c r="BB260" s="72"/>
      <c r="BC260" s="72"/>
      <c r="BD260" s="72"/>
      <c r="BE260" s="72"/>
      <c r="BF260" s="72"/>
      <c r="BG260" s="72"/>
      <c r="BH260" s="72"/>
      <c r="BI260" s="72"/>
      <c r="BJ260" s="72"/>
      <c r="BK260" s="72"/>
      <c r="BL260" s="72"/>
      <c r="BM260" s="72"/>
      <c r="BN260" s="72"/>
    </row>
    <row r="261" spans="3:66" s="42" customFormat="1" ht="16.149999999999999" customHeight="1" x14ac:dyDescent="0.25">
      <c r="C261" s="60"/>
      <c r="D261" s="60"/>
      <c r="E261" s="60"/>
      <c r="F261" s="56"/>
      <c r="G261" s="65"/>
      <c r="H261" s="65"/>
      <c r="I261" s="111"/>
      <c r="J261" s="111"/>
      <c r="K261" s="121"/>
      <c r="L261" s="121"/>
      <c r="M261" s="124"/>
      <c r="N261" s="121"/>
      <c r="O261" s="123"/>
      <c r="P261" s="123"/>
      <c r="Q261" s="65"/>
      <c r="R261" s="2"/>
      <c r="S261" s="2"/>
      <c r="T261" s="2"/>
      <c r="U261" s="2"/>
      <c r="V261" s="60"/>
      <c r="W261" s="240"/>
      <c r="X261" s="60"/>
      <c r="Y261" s="2"/>
      <c r="Z261" s="2"/>
      <c r="AA261" s="2"/>
      <c r="AC261" s="107"/>
      <c r="AD261" s="2"/>
      <c r="AE261" s="2"/>
      <c r="AF261" s="2"/>
      <c r="AG261" s="2"/>
      <c r="AH261" s="2"/>
      <c r="AM261" s="72"/>
      <c r="AN261" s="1206"/>
      <c r="AO261" s="72"/>
      <c r="AP261" s="118"/>
      <c r="AQ261" s="44"/>
      <c r="AR261" s="44"/>
      <c r="AS261" s="44"/>
      <c r="AT261" s="72"/>
      <c r="AU261" s="72"/>
      <c r="AV261" s="72"/>
      <c r="AW261" s="72"/>
      <c r="AX261" s="72"/>
      <c r="AY261" s="72"/>
      <c r="AZ261" s="72"/>
      <c r="BA261" s="72"/>
      <c r="BB261" s="72"/>
      <c r="BC261" s="72"/>
      <c r="BD261" s="72"/>
      <c r="BE261" s="72"/>
      <c r="BF261" s="72"/>
      <c r="BG261" s="72"/>
      <c r="BH261" s="72"/>
      <c r="BI261" s="72"/>
      <c r="BJ261" s="72"/>
      <c r="BK261" s="72"/>
      <c r="BL261" s="72"/>
      <c r="BM261" s="72"/>
      <c r="BN261" s="72"/>
    </row>
    <row r="262" spans="3:66" s="42" customFormat="1" ht="16.149999999999999" customHeight="1" x14ac:dyDescent="0.25">
      <c r="C262" s="60"/>
      <c r="D262" s="60"/>
      <c r="E262" s="60"/>
      <c r="F262" s="56"/>
      <c r="G262" s="65"/>
      <c r="H262" s="65"/>
      <c r="I262" s="111"/>
      <c r="J262" s="111"/>
      <c r="K262" s="121"/>
      <c r="L262" s="121"/>
      <c r="M262" s="124"/>
      <c r="N262" s="121"/>
      <c r="O262" s="123"/>
      <c r="P262" s="123"/>
      <c r="Q262" s="65"/>
      <c r="R262" s="2"/>
      <c r="S262" s="2"/>
      <c r="T262" s="2"/>
      <c r="U262" s="2"/>
      <c r="V262" s="60"/>
      <c r="W262" s="240"/>
      <c r="X262" s="60"/>
      <c r="Y262" s="2"/>
      <c r="Z262" s="2"/>
      <c r="AA262" s="2"/>
      <c r="AC262" s="107"/>
      <c r="AD262" s="2"/>
      <c r="AE262" s="2"/>
      <c r="AF262" s="2"/>
      <c r="AG262" s="2"/>
      <c r="AH262" s="2"/>
      <c r="AM262" s="72"/>
      <c r="AN262" s="1206"/>
      <c r="AO262" s="72"/>
      <c r="AP262" s="118"/>
      <c r="AQ262" s="44"/>
      <c r="AR262" s="44"/>
      <c r="AS262" s="44"/>
      <c r="AT262" s="72"/>
      <c r="AU262" s="72"/>
      <c r="AV262" s="72"/>
      <c r="AW262" s="72"/>
      <c r="AX262" s="72"/>
      <c r="AY262" s="72"/>
      <c r="AZ262" s="72"/>
      <c r="BA262" s="72"/>
      <c r="BB262" s="72"/>
      <c r="BC262" s="72"/>
      <c r="BD262" s="72"/>
      <c r="BE262" s="72"/>
      <c r="BF262" s="72"/>
      <c r="BG262" s="72"/>
      <c r="BH262" s="72"/>
      <c r="BI262" s="72"/>
      <c r="BJ262" s="72"/>
      <c r="BK262" s="72"/>
      <c r="BL262" s="72"/>
      <c r="BM262" s="72"/>
      <c r="BN262" s="72"/>
    </row>
    <row r="263" spans="3:66" s="42" customFormat="1" ht="16.149999999999999" customHeight="1" x14ac:dyDescent="0.25">
      <c r="C263" s="60"/>
      <c r="D263" s="60"/>
      <c r="E263" s="60"/>
      <c r="F263" s="56"/>
      <c r="G263" s="65"/>
      <c r="H263" s="65"/>
      <c r="I263" s="111"/>
      <c r="J263" s="111"/>
      <c r="K263" s="121"/>
      <c r="L263" s="121"/>
      <c r="M263" s="124"/>
      <c r="N263" s="121"/>
      <c r="O263" s="123"/>
      <c r="P263" s="123"/>
      <c r="Q263" s="65"/>
      <c r="R263" s="2"/>
      <c r="S263" s="2"/>
      <c r="T263" s="2"/>
      <c r="U263" s="2"/>
      <c r="V263" s="60"/>
      <c r="W263" s="240"/>
      <c r="X263" s="60"/>
      <c r="Y263" s="2"/>
      <c r="Z263" s="2"/>
      <c r="AA263" s="2"/>
      <c r="AC263" s="107"/>
      <c r="AD263" s="2"/>
      <c r="AE263" s="2"/>
      <c r="AF263" s="2"/>
      <c r="AG263" s="2"/>
      <c r="AH263" s="2"/>
      <c r="AM263" s="72"/>
      <c r="AN263" s="1206"/>
      <c r="AO263" s="72"/>
      <c r="AP263" s="118"/>
      <c r="AQ263" s="44"/>
      <c r="AR263" s="44"/>
      <c r="AS263" s="44"/>
      <c r="AT263" s="72"/>
      <c r="AU263" s="72"/>
      <c r="AV263" s="72"/>
      <c r="AW263" s="72"/>
      <c r="AX263" s="72"/>
      <c r="AY263" s="72"/>
      <c r="AZ263" s="72"/>
      <c r="BA263" s="72"/>
      <c r="BB263" s="72"/>
      <c r="BC263" s="72"/>
      <c r="BD263" s="72"/>
      <c r="BE263" s="72"/>
      <c r="BF263" s="72"/>
      <c r="BG263" s="72"/>
      <c r="BH263" s="72"/>
      <c r="BI263" s="72"/>
      <c r="BJ263" s="72"/>
      <c r="BK263" s="72"/>
      <c r="BL263" s="72"/>
      <c r="BM263" s="72"/>
      <c r="BN263" s="72"/>
    </row>
    <row r="264" spans="3:66" s="42" customFormat="1" ht="16.149999999999999" customHeight="1" x14ac:dyDescent="0.25">
      <c r="C264" s="60"/>
      <c r="D264" s="60"/>
      <c r="E264" s="60"/>
      <c r="F264" s="56"/>
      <c r="G264" s="65"/>
      <c r="H264" s="65"/>
      <c r="I264" s="111"/>
      <c r="J264" s="111"/>
      <c r="K264" s="121"/>
      <c r="L264" s="121"/>
      <c r="M264" s="124"/>
      <c r="N264" s="121"/>
      <c r="O264" s="123"/>
      <c r="P264" s="123"/>
      <c r="Q264" s="65"/>
      <c r="R264" s="2"/>
      <c r="S264" s="2"/>
      <c r="T264" s="2"/>
      <c r="U264" s="2"/>
      <c r="V264" s="60"/>
      <c r="W264" s="240"/>
      <c r="X264" s="60"/>
      <c r="Y264" s="2"/>
      <c r="Z264" s="2"/>
      <c r="AA264" s="2"/>
      <c r="AC264" s="107"/>
      <c r="AD264" s="2"/>
      <c r="AE264" s="2"/>
      <c r="AF264" s="2"/>
      <c r="AG264" s="2"/>
      <c r="AH264" s="2"/>
      <c r="AM264" s="72"/>
      <c r="AN264" s="1206"/>
      <c r="AO264" s="72"/>
      <c r="AP264" s="118"/>
      <c r="AQ264" s="44"/>
      <c r="AR264" s="44"/>
      <c r="AS264" s="44"/>
      <c r="AT264" s="72"/>
      <c r="AU264" s="72"/>
      <c r="AV264" s="72"/>
      <c r="AW264" s="72"/>
      <c r="AX264" s="72"/>
      <c r="AY264" s="72"/>
      <c r="AZ264" s="72"/>
      <c r="BA264" s="72"/>
      <c r="BB264" s="72"/>
      <c r="BC264" s="72"/>
      <c r="BD264" s="72"/>
      <c r="BE264" s="72"/>
      <c r="BF264" s="72"/>
      <c r="BG264" s="72"/>
      <c r="BH264" s="72"/>
      <c r="BI264" s="72"/>
      <c r="BJ264" s="72"/>
      <c r="BK264" s="72"/>
      <c r="BL264" s="72"/>
      <c r="BM264" s="72"/>
      <c r="BN264" s="72"/>
    </row>
    <row r="265" spans="3:66" s="42" customFormat="1" ht="16.149999999999999" customHeight="1" x14ac:dyDescent="0.25">
      <c r="C265" s="60"/>
      <c r="D265" s="60"/>
      <c r="E265" s="60"/>
      <c r="F265" s="56"/>
      <c r="G265" s="65"/>
      <c r="H265" s="65"/>
      <c r="I265" s="111"/>
      <c r="J265" s="111"/>
      <c r="K265" s="121"/>
      <c r="L265" s="121"/>
      <c r="M265" s="124"/>
      <c r="N265" s="121"/>
      <c r="O265" s="123"/>
      <c r="P265" s="123"/>
      <c r="Q265" s="65"/>
      <c r="R265" s="2"/>
      <c r="S265" s="2"/>
      <c r="T265" s="2"/>
      <c r="U265" s="2"/>
      <c r="V265" s="60"/>
      <c r="W265" s="240"/>
      <c r="X265" s="60"/>
      <c r="Y265" s="2"/>
      <c r="Z265" s="2"/>
      <c r="AA265" s="2"/>
      <c r="AC265" s="107"/>
      <c r="AD265" s="2"/>
      <c r="AE265" s="2"/>
      <c r="AF265" s="2"/>
      <c r="AG265" s="2"/>
      <c r="AH265" s="2"/>
      <c r="AM265" s="72"/>
      <c r="AN265" s="1206"/>
      <c r="AO265" s="72"/>
      <c r="AP265" s="118"/>
      <c r="AQ265" s="44"/>
      <c r="AR265" s="44"/>
      <c r="AS265" s="44"/>
      <c r="AT265" s="72"/>
      <c r="AU265" s="72"/>
      <c r="AV265" s="72"/>
      <c r="AW265" s="72"/>
      <c r="AX265" s="72"/>
      <c r="AY265" s="72"/>
      <c r="AZ265" s="72"/>
      <c r="BA265" s="72"/>
      <c r="BB265" s="72"/>
      <c r="BC265" s="72"/>
      <c r="BD265" s="72"/>
      <c r="BE265" s="72"/>
      <c r="BF265" s="72"/>
      <c r="BG265" s="72"/>
      <c r="BH265" s="72"/>
      <c r="BI265" s="72"/>
      <c r="BJ265" s="72"/>
      <c r="BK265" s="72"/>
      <c r="BL265" s="72"/>
      <c r="BM265" s="72"/>
      <c r="BN265" s="72"/>
    </row>
    <row r="266" spans="3:66" s="42" customFormat="1" ht="16.149999999999999" customHeight="1" x14ac:dyDescent="0.25">
      <c r="C266" s="60"/>
      <c r="D266" s="60"/>
      <c r="E266" s="60"/>
      <c r="F266" s="56"/>
      <c r="G266" s="65"/>
      <c r="H266" s="65"/>
      <c r="I266" s="111"/>
      <c r="J266" s="111"/>
      <c r="K266" s="121"/>
      <c r="L266" s="121"/>
      <c r="M266" s="124"/>
      <c r="N266" s="121"/>
      <c r="O266" s="123"/>
      <c r="P266" s="123"/>
      <c r="Q266" s="65"/>
      <c r="R266" s="2"/>
      <c r="S266" s="2"/>
      <c r="T266" s="2"/>
      <c r="U266" s="2"/>
      <c r="V266" s="60"/>
      <c r="W266" s="240"/>
      <c r="X266" s="60"/>
      <c r="Y266" s="2"/>
      <c r="Z266" s="2"/>
      <c r="AA266" s="2"/>
      <c r="AC266" s="107"/>
      <c r="AD266" s="2"/>
      <c r="AE266" s="2"/>
      <c r="AF266" s="2"/>
      <c r="AG266" s="2"/>
      <c r="AH266" s="2"/>
      <c r="AM266" s="72"/>
      <c r="AN266" s="1206"/>
      <c r="AO266" s="72"/>
      <c r="AP266" s="118"/>
      <c r="AQ266" s="44"/>
      <c r="AR266" s="44"/>
      <c r="AS266" s="44"/>
      <c r="AT266" s="72"/>
      <c r="AU266" s="72"/>
      <c r="AV266" s="72"/>
      <c r="AW266" s="72"/>
      <c r="AX266" s="72"/>
      <c r="AY266" s="72"/>
      <c r="AZ266" s="72"/>
      <c r="BA266" s="72"/>
      <c r="BB266" s="72"/>
      <c r="BC266" s="72"/>
      <c r="BD266" s="72"/>
      <c r="BE266" s="72"/>
      <c r="BF266" s="72"/>
      <c r="BG266" s="72"/>
      <c r="BH266" s="72"/>
      <c r="BI266" s="72"/>
      <c r="BJ266" s="72"/>
      <c r="BK266" s="72"/>
      <c r="BL266" s="72"/>
      <c r="BM266" s="72"/>
      <c r="BN266" s="72"/>
    </row>
    <row r="267" spans="3:66" s="42" customFormat="1" ht="16.149999999999999" customHeight="1" x14ac:dyDescent="0.25">
      <c r="C267" s="60"/>
      <c r="D267" s="60"/>
      <c r="E267" s="60"/>
      <c r="F267" s="56"/>
      <c r="G267" s="65"/>
      <c r="H267" s="65"/>
      <c r="I267" s="111"/>
      <c r="J267" s="111"/>
      <c r="K267" s="121"/>
      <c r="L267" s="121"/>
      <c r="M267" s="124"/>
      <c r="N267" s="121"/>
      <c r="O267" s="123"/>
      <c r="P267" s="123"/>
      <c r="Q267" s="65"/>
      <c r="R267" s="2"/>
      <c r="S267" s="2"/>
      <c r="T267" s="2"/>
      <c r="U267" s="2"/>
      <c r="V267" s="60"/>
      <c r="W267" s="240"/>
      <c r="X267" s="60"/>
      <c r="Y267" s="2"/>
      <c r="Z267" s="2"/>
      <c r="AA267" s="2"/>
      <c r="AC267" s="107"/>
      <c r="AD267" s="2"/>
      <c r="AE267" s="2"/>
      <c r="AF267" s="2"/>
      <c r="AG267" s="2"/>
      <c r="AH267" s="2"/>
      <c r="AM267" s="72"/>
      <c r="AN267" s="1206"/>
      <c r="AO267" s="72"/>
      <c r="AP267" s="118"/>
      <c r="AQ267" s="44"/>
      <c r="AR267" s="44"/>
      <c r="AS267" s="44"/>
      <c r="AT267" s="72"/>
      <c r="AU267" s="72"/>
      <c r="AV267" s="72"/>
      <c r="AW267" s="72"/>
      <c r="AX267" s="72"/>
      <c r="AY267" s="72"/>
      <c r="AZ267" s="72"/>
      <c r="BA267" s="72"/>
      <c r="BB267" s="72"/>
      <c r="BC267" s="72"/>
      <c r="BD267" s="72"/>
      <c r="BE267" s="72"/>
      <c r="BF267" s="72"/>
      <c r="BG267" s="72"/>
      <c r="BH267" s="72"/>
      <c r="BI267" s="72"/>
      <c r="BJ267" s="72"/>
      <c r="BK267" s="72"/>
      <c r="BL267" s="72"/>
      <c r="BM267" s="72"/>
      <c r="BN267" s="72"/>
    </row>
    <row r="268" spans="3:66" s="42" customFormat="1" ht="16.149999999999999" customHeight="1" x14ac:dyDescent="0.25">
      <c r="C268" s="60"/>
      <c r="D268" s="60"/>
      <c r="E268" s="60"/>
      <c r="F268" s="56"/>
      <c r="G268" s="65"/>
      <c r="H268" s="65"/>
      <c r="I268" s="111"/>
      <c r="J268" s="111"/>
      <c r="K268" s="121"/>
      <c r="L268" s="121"/>
      <c r="M268" s="124"/>
      <c r="N268" s="121"/>
      <c r="O268" s="123"/>
      <c r="P268" s="123"/>
      <c r="Q268" s="65"/>
      <c r="R268" s="2"/>
      <c r="S268" s="2"/>
      <c r="T268" s="2"/>
      <c r="U268" s="2"/>
      <c r="V268" s="60"/>
      <c r="W268" s="240"/>
      <c r="X268" s="60"/>
      <c r="Y268" s="2"/>
      <c r="Z268" s="2"/>
      <c r="AA268" s="2"/>
      <c r="AC268" s="107"/>
      <c r="AD268" s="2"/>
      <c r="AE268" s="2"/>
      <c r="AF268" s="2"/>
      <c r="AG268" s="2"/>
      <c r="AH268" s="2"/>
      <c r="AM268" s="72"/>
      <c r="AN268" s="1206"/>
      <c r="AO268" s="72"/>
      <c r="AP268" s="118"/>
      <c r="AQ268" s="44"/>
      <c r="AR268" s="44"/>
      <c r="AS268" s="72"/>
      <c r="AT268" s="8"/>
      <c r="AU268" s="72"/>
      <c r="AV268" s="72"/>
      <c r="AW268" s="72"/>
      <c r="AX268" s="72"/>
      <c r="AY268" s="72"/>
      <c r="AZ268" s="72"/>
      <c r="BA268" s="72"/>
      <c r="BB268" s="72"/>
      <c r="BC268" s="72"/>
      <c r="BD268" s="72"/>
      <c r="BE268" s="72"/>
      <c r="BF268" s="72"/>
      <c r="BG268" s="72"/>
      <c r="BH268" s="72"/>
      <c r="BI268" s="72"/>
      <c r="BJ268" s="72"/>
      <c r="BK268" s="72"/>
      <c r="BL268" s="72"/>
      <c r="BM268" s="72"/>
      <c r="BN268" s="72"/>
    </row>
    <row r="269" spans="3:66" ht="16.149999999999999" customHeight="1" x14ac:dyDescent="0.25">
      <c r="AB269" s="2"/>
      <c r="AI269" s="42"/>
      <c r="AJ269" s="42"/>
      <c r="AK269" s="42"/>
      <c r="AL269" s="42"/>
      <c r="AQ269" s="44"/>
      <c r="AR269" s="44"/>
      <c r="AS269" s="44"/>
    </row>
    <row r="270" spans="3:66" s="42" customFormat="1" ht="16.149999999999999" customHeight="1" x14ac:dyDescent="0.25">
      <c r="C270" s="60"/>
      <c r="D270" s="60"/>
      <c r="E270" s="60"/>
      <c r="F270" s="56"/>
      <c r="G270" s="65"/>
      <c r="H270" s="65"/>
      <c r="I270" s="111"/>
      <c r="J270" s="111"/>
      <c r="K270" s="121"/>
      <c r="L270" s="121"/>
      <c r="M270" s="124"/>
      <c r="N270" s="121"/>
      <c r="O270" s="123"/>
      <c r="P270" s="123"/>
      <c r="Q270" s="65"/>
      <c r="R270" s="2"/>
      <c r="S270" s="2"/>
      <c r="T270" s="2"/>
      <c r="U270" s="2"/>
      <c r="V270" s="60"/>
      <c r="W270" s="240"/>
      <c r="X270" s="60"/>
      <c r="Y270" s="2"/>
      <c r="Z270" s="2"/>
      <c r="AA270" s="2"/>
      <c r="AC270" s="107"/>
      <c r="AD270" s="2"/>
      <c r="AE270" s="2"/>
      <c r="AF270" s="2"/>
      <c r="AG270" s="2"/>
      <c r="AH270" s="2"/>
      <c r="AM270" s="72"/>
      <c r="AN270" s="1206"/>
      <c r="AO270" s="72"/>
      <c r="AP270" s="118"/>
      <c r="AQ270" s="44"/>
      <c r="AR270" s="44"/>
      <c r="AS270" s="44"/>
      <c r="AT270" s="72"/>
      <c r="AU270" s="72"/>
      <c r="AV270" s="72"/>
      <c r="AW270" s="72"/>
      <c r="AX270" s="72"/>
      <c r="AY270" s="72"/>
      <c r="AZ270" s="72"/>
      <c r="BA270" s="72"/>
      <c r="BB270" s="72"/>
      <c r="BC270" s="72"/>
      <c r="BD270" s="72"/>
      <c r="BE270" s="72"/>
      <c r="BF270" s="72"/>
      <c r="BG270" s="72"/>
      <c r="BH270" s="72"/>
      <c r="BI270" s="72"/>
      <c r="BJ270" s="72"/>
      <c r="BK270" s="72"/>
      <c r="BL270" s="72"/>
      <c r="BM270" s="72"/>
      <c r="BN270" s="72"/>
    </row>
    <row r="271" spans="3:66" s="42" customFormat="1" ht="16.149999999999999" customHeight="1" x14ac:dyDescent="0.25">
      <c r="C271" s="60"/>
      <c r="D271" s="60"/>
      <c r="E271" s="60"/>
      <c r="F271" s="56"/>
      <c r="G271" s="65"/>
      <c r="H271" s="65"/>
      <c r="I271" s="111"/>
      <c r="J271" s="111"/>
      <c r="K271" s="121"/>
      <c r="L271" s="121"/>
      <c r="M271" s="124"/>
      <c r="N271" s="121"/>
      <c r="O271" s="123"/>
      <c r="P271" s="123"/>
      <c r="Q271" s="65"/>
      <c r="R271" s="2"/>
      <c r="S271" s="2"/>
      <c r="T271" s="2"/>
      <c r="U271" s="2"/>
      <c r="V271" s="60"/>
      <c r="W271" s="240"/>
      <c r="X271" s="60"/>
      <c r="Y271" s="2"/>
      <c r="Z271" s="2"/>
      <c r="AA271" s="2"/>
      <c r="AC271" s="107"/>
      <c r="AD271" s="2"/>
      <c r="AE271" s="2"/>
      <c r="AF271" s="2"/>
      <c r="AG271" s="2"/>
      <c r="AH271" s="2"/>
      <c r="AM271" s="72"/>
      <c r="AN271" s="1206"/>
      <c r="AO271" s="72"/>
      <c r="AP271" s="118"/>
      <c r="AQ271" s="44"/>
      <c r="AR271" s="44"/>
      <c r="AS271" s="44"/>
      <c r="AT271" s="72"/>
      <c r="AU271" s="72"/>
      <c r="AV271" s="72"/>
      <c r="AW271" s="72"/>
      <c r="AX271" s="72"/>
      <c r="AY271" s="72"/>
      <c r="AZ271" s="72"/>
      <c r="BA271" s="72"/>
      <c r="BB271" s="72"/>
      <c r="BC271" s="72"/>
      <c r="BD271" s="72"/>
      <c r="BE271" s="72"/>
      <c r="BF271" s="72"/>
      <c r="BG271" s="72"/>
      <c r="BH271" s="72"/>
      <c r="BI271" s="72"/>
      <c r="BJ271" s="72"/>
      <c r="BK271" s="72"/>
      <c r="BL271" s="72"/>
      <c r="BM271" s="72"/>
      <c r="BN271" s="72"/>
    </row>
    <row r="272" spans="3:66" s="42" customFormat="1" ht="16.149999999999999" customHeight="1" x14ac:dyDescent="0.25">
      <c r="C272" s="60"/>
      <c r="D272" s="60"/>
      <c r="E272" s="60"/>
      <c r="F272" s="56"/>
      <c r="G272" s="65"/>
      <c r="H272" s="65"/>
      <c r="I272" s="111"/>
      <c r="J272" s="111"/>
      <c r="K272" s="121"/>
      <c r="L272" s="121"/>
      <c r="M272" s="124"/>
      <c r="N272" s="121"/>
      <c r="O272" s="123"/>
      <c r="P272" s="123"/>
      <c r="Q272" s="65"/>
      <c r="R272" s="2"/>
      <c r="S272" s="2"/>
      <c r="T272" s="2"/>
      <c r="U272" s="2"/>
      <c r="V272" s="60"/>
      <c r="W272" s="240"/>
      <c r="X272" s="60"/>
      <c r="Y272" s="2"/>
      <c r="Z272" s="2"/>
      <c r="AA272" s="2"/>
      <c r="AC272" s="107"/>
      <c r="AD272" s="2"/>
      <c r="AE272" s="2"/>
      <c r="AF272" s="2"/>
      <c r="AG272" s="2"/>
      <c r="AH272" s="2"/>
      <c r="AM272" s="72"/>
      <c r="AN272" s="1206"/>
      <c r="AO272" s="72"/>
      <c r="AP272" s="118"/>
      <c r="AQ272" s="44"/>
      <c r="AR272" s="44"/>
      <c r="AS272" s="44"/>
      <c r="AT272" s="72"/>
      <c r="AU272" s="72"/>
      <c r="AV272" s="72"/>
      <c r="AW272" s="72"/>
      <c r="AX272" s="72"/>
      <c r="AY272" s="72"/>
      <c r="AZ272" s="72"/>
      <c r="BA272" s="72"/>
      <c r="BB272" s="72"/>
      <c r="BC272" s="72"/>
      <c r="BD272" s="72"/>
      <c r="BE272" s="72"/>
      <c r="BF272" s="72"/>
      <c r="BG272" s="72"/>
      <c r="BH272" s="72"/>
      <c r="BI272" s="72"/>
      <c r="BJ272" s="72"/>
      <c r="BK272" s="72"/>
      <c r="BL272" s="72"/>
      <c r="BM272" s="72"/>
      <c r="BN272" s="72"/>
    </row>
    <row r="273" spans="3:66" s="42" customFormat="1" ht="16.149999999999999" customHeight="1" x14ac:dyDescent="0.25">
      <c r="C273" s="60"/>
      <c r="D273" s="60"/>
      <c r="E273" s="60"/>
      <c r="F273" s="56"/>
      <c r="G273" s="65"/>
      <c r="H273" s="65"/>
      <c r="I273" s="111"/>
      <c r="J273" s="111"/>
      <c r="K273" s="121"/>
      <c r="L273" s="121"/>
      <c r="M273" s="124"/>
      <c r="N273" s="121"/>
      <c r="O273" s="123"/>
      <c r="P273" s="123"/>
      <c r="Q273" s="65"/>
      <c r="R273" s="2"/>
      <c r="S273" s="2"/>
      <c r="T273" s="2"/>
      <c r="U273" s="2"/>
      <c r="V273" s="60"/>
      <c r="W273" s="240"/>
      <c r="X273" s="60"/>
      <c r="Y273" s="2"/>
      <c r="Z273" s="2"/>
      <c r="AA273" s="2"/>
      <c r="AC273" s="107"/>
      <c r="AD273" s="2"/>
      <c r="AE273" s="2"/>
      <c r="AF273" s="2"/>
      <c r="AG273" s="2"/>
      <c r="AH273" s="2"/>
      <c r="AM273" s="72"/>
      <c r="AN273" s="1206"/>
      <c r="AO273" s="72"/>
      <c r="AP273" s="118"/>
      <c r="AQ273" s="44"/>
      <c r="AR273" s="44"/>
      <c r="AS273" s="44"/>
      <c r="AT273" s="72"/>
      <c r="AU273" s="72"/>
      <c r="AV273" s="72"/>
      <c r="AW273" s="72"/>
      <c r="AX273" s="72"/>
      <c r="AY273" s="72"/>
      <c r="AZ273" s="72"/>
      <c r="BA273" s="72"/>
      <c r="BB273" s="72"/>
      <c r="BC273" s="72"/>
      <c r="BD273" s="72"/>
      <c r="BE273" s="72"/>
      <c r="BF273" s="72"/>
      <c r="BG273" s="72"/>
      <c r="BH273" s="72"/>
      <c r="BI273" s="72"/>
      <c r="BJ273" s="72"/>
      <c r="BK273" s="72"/>
      <c r="BL273" s="72"/>
      <c r="BM273" s="72"/>
      <c r="BN273" s="72"/>
    </row>
    <row r="274" spans="3:66" s="42" customFormat="1" ht="16.149999999999999" customHeight="1" x14ac:dyDescent="0.25">
      <c r="C274" s="60"/>
      <c r="D274" s="60"/>
      <c r="E274" s="60"/>
      <c r="F274" s="56"/>
      <c r="G274" s="65"/>
      <c r="H274" s="65"/>
      <c r="I274" s="111"/>
      <c r="J274" s="111"/>
      <c r="K274" s="121"/>
      <c r="L274" s="121"/>
      <c r="M274" s="124"/>
      <c r="N274" s="121"/>
      <c r="O274" s="123"/>
      <c r="P274" s="123"/>
      <c r="Q274" s="65"/>
      <c r="R274" s="2"/>
      <c r="S274" s="2"/>
      <c r="T274" s="2"/>
      <c r="U274" s="2"/>
      <c r="V274" s="60"/>
      <c r="W274" s="240"/>
      <c r="X274" s="60"/>
      <c r="Y274" s="2"/>
      <c r="Z274" s="2"/>
      <c r="AA274" s="2"/>
      <c r="AC274" s="107"/>
      <c r="AD274" s="2"/>
      <c r="AE274" s="2"/>
      <c r="AF274" s="2"/>
      <c r="AG274" s="2"/>
      <c r="AH274" s="2"/>
      <c r="AM274" s="72"/>
      <c r="AN274" s="1206"/>
      <c r="AO274" s="72"/>
      <c r="AP274" s="118"/>
      <c r="AQ274" s="44"/>
      <c r="AR274" s="44"/>
      <c r="AS274" s="44"/>
      <c r="AT274" s="72"/>
      <c r="AU274" s="72"/>
      <c r="AV274" s="72"/>
      <c r="AW274" s="72"/>
      <c r="AX274" s="72"/>
      <c r="AY274" s="72"/>
      <c r="AZ274" s="72"/>
      <c r="BA274" s="72"/>
      <c r="BB274" s="72"/>
      <c r="BC274" s="72"/>
      <c r="BD274" s="72"/>
      <c r="BE274" s="72"/>
      <c r="BF274" s="72"/>
      <c r="BG274" s="72"/>
      <c r="BH274" s="72"/>
      <c r="BI274" s="72"/>
      <c r="BJ274" s="72"/>
      <c r="BK274" s="72"/>
      <c r="BL274" s="72"/>
      <c r="BM274" s="72"/>
      <c r="BN274" s="72"/>
    </row>
    <row r="275" spans="3:66" s="42" customFormat="1" ht="16.149999999999999" customHeight="1" x14ac:dyDescent="0.25">
      <c r="C275" s="60"/>
      <c r="D275" s="60"/>
      <c r="E275" s="60"/>
      <c r="F275" s="56"/>
      <c r="G275" s="65"/>
      <c r="H275" s="65"/>
      <c r="I275" s="111"/>
      <c r="J275" s="111"/>
      <c r="K275" s="121"/>
      <c r="L275" s="121"/>
      <c r="M275" s="124"/>
      <c r="N275" s="121"/>
      <c r="O275" s="123"/>
      <c r="P275" s="123"/>
      <c r="Q275" s="65"/>
      <c r="R275" s="2"/>
      <c r="S275" s="2"/>
      <c r="T275" s="2"/>
      <c r="U275" s="2"/>
      <c r="V275" s="60"/>
      <c r="W275" s="240"/>
      <c r="X275" s="60"/>
      <c r="Y275" s="2"/>
      <c r="Z275" s="2"/>
      <c r="AA275" s="2"/>
      <c r="AC275" s="107"/>
      <c r="AD275" s="2"/>
      <c r="AE275" s="2"/>
      <c r="AF275" s="2"/>
      <c r="AG275" s="2"/>
      <c r="AH275" s="2"/>
      <c r="AM275" s="72"/>
      <c r="AN275" s="1206"/>
      <c r="AO275" s="72"/>
      <c r="AP275" s="118"/>
      <c r="AQ275" s="44"/>
      <c r="AR275" s="44"/>
      <c r="AS275" s="44"/>
      <c r="AT275" s="72"/>
      <c r="AU275" s="72"/>
      <c r="AV275" s="72"/>
      <c r="AW275" s="72"/>
      <c r="AX275" s="72"/>
      <c r="AY275" s="72"/>
      <c r="AZ275" s="72"/>
      <c r="BA275" s="72"/>
      <c r="BB275" s="72"/>
      <c r="BC275" s="72"/>
      <c r="BD275" s="72"/>
      <c r="BE275" s="72"/>
      <c r="BF275" s="72"/>
      <c r="BG275" s="72"/>
      <c r="BH275" s="72"/>
      <c r="BI275" s="72"/>
      <c r="BJ275" s="72"/>
      <c r="BK275" s="72"/>
      <c r="BL275" s="72"/>
      <c r="BM275" s="72"/>
      <c r="BN275" s="72"/>
    </row>
    <row r="276" spans="3:66" s="42" customFormat="1" ht="16.149999999999999" customHeight="1" x14ac:dyDescent="0.25">
      <c r="C276" s="60"/>
      <c r="D276" s="60"/>
      <c r="E276" s="60"/>
      <c r="F276" s="56"/>
      <c r="G276" s="65"/>
      <c r="H276" s="65"/>
      <c r="I276" s="111"/>
      <c r="J276" s="111"/>
      <c r="K276" s="121"/>
      <c r="L276" s="121"/>
      <c r="M276" s="124"/>
      <c r="N276" s="121"/>
      <c r="O276" s="123"/>
      <c r="P276" s="123"/>
      <c r="Q276" s="65"/>
      <c r="R276" s="2"/>
      <c r="S276" s="2"/>
      <c r="T276" s="2"/>
      <c r="U276" s="2"/>
      <c r="V276" s="60"/>
      <c r="W276" s="240"/>
      <c r="X276" s="60"/>
      <c r="Y276" s="2"/>
      <c r="Z276" s="2"/>
      <c r="AA276" s="2"/>
      <c r="AC276" s="107"/>
      <c r="AD276" s="2"/>
      <c r="AE276" s="2"/>
      <c r="AF276" s="2"/>
      <c r="AG276" s="2"/>
      <c r="AH276" s="2"/>
      <c r="AM276" s="72"/>
      <c r="AN276" s="1206"/>
      <c r="AO276" s="72"/>
      <c r="AP276" s="118"/>
      <c r="AQ276" s="44"/>
      <c r="AR276" s="44"/>
      <c r="AS276" s="44"/>
      <c r="AT276" s="72"/>
      <c r="AU276" s="72"/>
      <c r="AV276" s="72"/>
      <c r="AW276" s="72"/>
      <c r="AX276" s="72"/>
      <c r="AY276" s="72"/>
      <c r="AZ276" s="72"/>
      <c r="BA276" s="72"/>
      <c r="BB276" s="72"/>
      <c r="BC276" s="72"/>
      <c r="BD276" s="72"/>
      <c r="BE276" s="72"/>
      <c r="BF276" s="72"/>
      <c r="BG276" s="72"/>
      <c r="BH276" s="72"/>
      <c r="BI276" s="72"/>
      <c r="BJ276" s="72"/>
      <c r="BK276" s="72"/>
      <c r="BL276" s="72"/>
      <c r="BM276" s="72"/>
      <c r="BN276" s="72"/>
    </row>
    <row r="277" spans="3:66" s="42" customFormat="1" ht="16.149999999999999" customHeight="1" x14ac:dyDescent="0.25">
      <c r="C277" s="60"/>
      <c r="D277" s="60"/>
      <c r="E277" s="60"/>
      <c r="F277" s="56"/>
      <c r="G277" s="65"/>
      <c r="H277" s="65"/>
      <c r="I277" s="111"/>
      <c r="J277" s="111"/>
      <c r="K277" s="121"/>
      <c r="L277" s="121"/>
      <c r="M277" s="124"/>
      <c r="N277" s="121"/>
      <c r="O277" s="123"/>
      <c r="P277" s="123"/>
      <c r="Q277" s="65"/>
      <c r="R277" s="2"/>
      <c r="S277" s="2"/>
      <c r="T277" s="2"/>
      <c r="U277" s="2"/>
      <c r="V277" s="60"/>
      <c r="W277" s="240"/>
      <c r="X277" s="60"/>
      <c r="Y277" s="2"/>
      <c r="Z277" s="2"/>
      <c r="AA277" s="2"/>
      <c r="AC277" s="107"/>
      <c r="AD277" s="2"/>
      <c r="AE277" s="2"/>
      <c r="AF277" s="2"/>
      <c r="AG277" s="2"/>
      <c r="AH277" s="2"/>
      <c r="AM277" s="72"/>
      <c r="AN277" s="1206"/>
      <c r="AO277" s="72"/>
      <c r="AP277" s="118"/>
      <c r="AQ277" s="44"/>
      <c r="AR277" s="44"/>
      <c r="AS277" s="44"/>
      <c r="AT277" s="72"/>
      <c r="AU277" s="72"/>
      <c r="AV277" s="72"/>
      <c r="AW277" s="72"/>
      <c r="AX277" s="72"/>
      <c r="AY277" s="72"/>
      <c r="AZ277" s="72"/>
      <c r="BA277" s="72"/>
      <c r="BB277" s="72"/>
      <c r="BC277" s="72"/>
      <c r="BD277" s="72"/>
      <c r="BE277" s="72"/>
      <c r="BF277" s="72"/>
      <c r="BG277" s="72"/>
      <c r="BH277" s="72"/>
      <c r="BI277" s="72"/>
      <c r="BJ277" s="72"/>
      <c r="BK277" s="72"/>
      <c r="BL277" s="72"/>
      <c r="BM277" s="72"/>
      <c r="BN277" s="72"/>
    </row>
    <row r="278" spans="3:66" s="42" customFormat="1" ht="16.149999999999999" customHeight="1" x14ac:dyDescent="0.25">
      <c r="C278" s="60"/>
      <c r="D278" s="60"/>
      <c r="E278" s="60"/>
      <c r="F278" s="129"/>
      <c r="G278" s="65"/>
      <c r="H278" s="65"/>
      <c r="I278" s="111"/>
      <c r="J278" s="111"/>
      <c r="K278" s="121"/>
      <c r="L278" s="121"/>
      <c r="M278" s="124"/>
      <c r="N278" s="121"/>
      <c r="O278" s="123"/>
      <c r="P278" s="123"/>
      <c r="Q278" s="65"/>
      <c r="R278" s="2"/>
      <c r="S278" s="2"/>
      <c r="T278" s="2"/>
      <c r="U278" s="2"/>
      <c r="V278" s="60"/>
      <c r="W278" s="240"/>
      <c r="X278" s="60"/>
      <c r="Y278" s="2"/>
      <c r="Z278" s="2"/>
      <c r="AA278" s="2"/>
      <c r="AC278" s="107"/>
      <c r="AD278" s="2"/>
      <c r="AE278" s="2"/>
      <c r="AF278" s="2"/>
      <c r="AG278" s="2"/>
      <c r="AH278" s="2"/>
      <c r="AM278" s="72"/>
      <c r="AN278" s="1206"/>
      <c r="AO278" s="72"/>
      <c r="AP278" s="118"/>
      <c r="AQ278" s="44"/>
      <c r="AR278" s="44"/>
      <c r="AS278" s="44"/>
      <c r="AT278" s="72"/>
      <c r="AU278" s="72"/>
      <c r="AV278" s="72"/>
      <c r="AW278" s="72"/>
      <c r="AX278" s="72"/>
      <c r="AY278" s="72"/>
      <c r="AZ278" s="72"/>
      <c r="BA278" s="72"/>
      <c r="BB278" s="72"/>
      <c r="BC278" s="72"/>
      <c r="BD278" s="72"/>
      <c r="BE278" s="72"/>
      <c r="BF278" s="72"/>
      <c r="BG278" s="72"/>
      <c r="BH278" s="72"/>
      <c r="BI278" s="72"/>
      <c r="BJ278" s="72"/>
      <c r="BK278" s="72"/>
      <c r="BL278" s="72"/>
      <c r="BM278" s="72"/>
      <c r="BN278" s="72"/>
    </row>
    <row r="279" spans="3:66" s="42" customFormat="1" ht="16.149999999999999" customHeight="1" x14ac:dyDescent="0.25">
      <c r="C279" s="60"/>
      <c r="D279" s="60"/>
      <c r="E279" s="60"/>
      <c r="F279" s="56"/>
      <c r="G279" s="65"/>
      <c r="H279" s="65"/>
      <c r="I279" s="111"/>
      <c r="J279" s="111"/>
      <c r="K279" s="121"/>
      <c r="L279" s="121"/>
      <c r="M279" s="124"/>
      <c r="N279" s="121"/>
      <c r="O279" s="123"/>
      <c r="P279" s="123"/>
      <c r="Q279" s="65"/>
      <c r="R279" s="2"/>
      <c r="S279" s="2"/>
      <c r="T279" s="2"/>
      <c r="U279" s="2"/>
      <c r="V279" s="60"/>
      <c r="W279" s="240"/>
      <c r="X279" s="60"/>
      <c r="Y279" s="2"/>
      <c r="Z279" s="2"/>
      <c r="AA279" s="2"/>
      <c r="AC279" s="107"/>
      <c r="AD279" s="2"/>
      <c r="AE279" s="2"/>
      <c r="AF279" s="2"/>
      <c r="AG279" s="2"/>
      <c r="AH279" s="2"/>
      <c r="AM279" s="72"/>
      <c r="AN279" s="1206"/>
      <c r="AO279" s="72"/>
      <c r="AP279" s="118"/>
      <c r="AQ279" s="44"/>
      <c r="AR279" s="44"/>
      <c r="AS279" s="44"/>
      <c r="AT279" s="72"/>
      <c r="AU279" s="72"/>
      <c r="AV279" s="72"/>
      <c r="AW279" s="72"/>
      <c r="AX279" s="72"/>
      <c r="AY279" s="72"/>
      <c r="AZ279" s="72"/>
      <c r="BA279" s="72"/>
      <c r="BB279" s="72"/>
      <c r="BC279" s="72"/>
      <c r="BD279" s="72"/>
      <c r="BE279" s="72"/>
      <c r="BF279" s="72"/>
      <c r="BG279" s="72"/>
      <c r="BH279" s="72"/>
      <c r="BI279" s="72"/>
      <c r="BJ279" s="72"/>
      <c r="BK279" s="72"/>
      <c r="BL279" s="72"/>
      <c r="BM279" s="72"/>
      <c r="BN279" s="72"/>
    </row>
    <row r="280" spans="3:66" s="42" customFormat="1" ht="16.149999999999999" customHeight="1" x14ac:dyDescent="0.25">
      <c r="C280" s="60"/>
      <c r="D280" s="60"/>
      <c r="E280" s="60"/>
      <c r="F280" s="56"/>
      <c r="G280" s="65"/>
      <c r="H280" s="65"/>
      <c r="I280" s="111"/>
      <c r="J280" s="111"/>
      <c r="K280" s="121"/>
      <c r="L280" s="121"/>
      <c r="M280" s="124"/>
      <c r="N280" s="121"/>
      <c r="O280" s="123"/>
      <c r="P280" s="123"/>
      <c r="Q280" s="65"/>
      <c r="R280" s="2"/>
      <c r="S280" s="2"/>
      <c r="T280" s="2"/>
      <c r="U280" s="2"/>
      <c r="V280" s="60"/>
      <c r="W280" s="240"/>
      <c r="X280" s="60"/>
      <c r="Y280" s="2"/>
      <c r="Z280" s="2"/>
      <c r="AA280" s="2"/>
      <c r="AC280" s="107"/>
      <c r="AD280" s="2"/>
      <c r="AE280" s="2"/>
      <c r="AF280" s="2"/>
      <c r="AG280" s="2"/>
      <c r="AH280" s="2"/>
      <c r="AM280" s="72"/>
      <c r="AN280" s="1206"/>
      <c r="AO280" s="72"/>
      <c r="AP280" s="118"/>
      <c r="AQ280" s="44"/>
      <c r="AR280" s="44"/>
      <c r="AS280" s="44"/>
      <c r="AT280" s="72"/>
      <c r="AU280" s="72"/>
      <c r="AV280" s="72"/>
      <c r="AW280" s="72"/>
      <c r="AX280" s="72"/>
      <c r="AY280" s="72"/>
      <c r="AZ280" s="72"/>
      <c r="BA280" s="72"/>
      <c r="BB280" s="72"/>
      <c r="BC280" s="72"/>
      <c r="BD280" s="72"/>
      <c r="BE280" s="72"/>
      <c r="BF280" s="72"/>
      <c r="BG280" s="72"/>
      <c r="BH280" s="72"/>
      <c r="BI280" s="72"/>
      <c r="BJ280" s="72"/>
      <c r="BK280" s="72"/>
      <c r="BL280" s="72"/>
      <c r="BM280" s="72"/>
      <c r="BN280" s="72"/>
    </row>
    <row r="281" spans="3:66" s="42" customFormat="1" ht="16.149999999999999" customHeight="1" x14ac:dyDescent="0.25">
      <c r="C281" s="60"/>
      <c r="D281" s="60"/>
      <c r="E281" s="60"/>
      <c r="F281" s="56"/>
      <c r="G281" s="65"/>
      <c r="H281" s="65"/>
      <c r="I281" s="111"/>
      <c r="J281" s="111"/>
      <c r="K281" s="121"/>
      <c r="L281" s="121"/>
      <c r="M281" s="124"/>
      <c r="N281" s="121"/>
      <c r="O281" s="123"/>
      <c r="P281" s="123"/>
      <c r="Q281" s="65"/>
      <c r="R281" s="2"/>
      <c r="S281" s="2"/>
      <c r="T281" s="2"/>
      <c r="U281" s="2"/>
      <c r="V281" s="60"/>
      <c r="W281" s="240"/>
      <c r="X281" s="60"/>
      <c r="Y281" s="2"/>
      <c r="Z281" s="2"/>
      <c r="AA281" s="2"/>
      <c r="AC281" s="107"/>
      <c r="AD281" s="2"/>
      <c r="AE281" s="2"/>
      <c r="AF281" s="2"/>
      <c r="AG281" s="2"/>
      <c r="AH281" s="2"/>
      <c r="AM281" s="72"/>
      <c r="AN281" s="1206"/>
      <c r="AO281" s="72"/>
      <c r="AP281" s="118"/>
      <c r="AQ281" s="44"/>
      <c r="AR281" s="44"/>
      <c r="AS281" s="44"/>
      <c r="AT281" s="72"/>
      <c r="AU281" s="72"/>
      <c r="AV281" s="72"/>
      <c r="AW281" s="72"/>
      <c r="AX281" s="72"/>
      <c r="AY281" s="72"/>
      <c r="AZ281" s="72"/>
      <c r="BA281" s="72"/>
      <c r="BB281" s="72"/>
      <c r="BC281" s="72"/>
      <c r="BD281" s="72"/>
      <c r="BE281" s="72"/>
      <c r="BF281" s="72"/>
      <c r="BG281" s="72"/>
      <c r="BH281" s="72"/>
      <c r="BI281" s="72"/>
      <c r="BJ281" s="72"/>
      <c r="BK281" s="72"/>
      <c r="BL281" s="72"/>
      <c r="BM281" s="72"/>
      <c r="BN281" s="72"/>
    </row>
    <row r="282" spans="3:66" ht="16.149999999999999" customHeight="1" x14ac:dyDescent="0.25">
      <c r="AB282" s="2"/>
      <c r="AI282" s="42"/>
      <c r="AJ282" s="42"/>
      <c r="AK282" s="42"/>
      <c r="AL282" s="42"/>
      <c r="AQ282" s="44"/>
      <c r="AR282" s="44"/>
      <c r="AS282" s="44"/>
    </row>
    <row r="283" spans="3:66" ht="16.149999999999999" customHeight="1" x14ac:dyDescent="0.25">
      <c r="AB283" s="2"/>
      <c r="AI283" s="42"/>
      <c r="AJ283" s="42"/>
      <c r="AK283" s="42"/>
      <c r="AL283" s="42"/>
      <c r="AQ283" s="44"/>
      <c r="AR283" s="44"/>
      <c r="AS283" s="44"/>
    </row>
    <row r="284" spans="3:66" s="42" customFormat="1" ht="16.149999999999999" customHeight="1" x14ac:dyDescent="0.25">
      <c r="C284" s="60"/>
      <c r="D284" s="60"/>
      <c r="E284" s="60"/>
      <c r="F284" s="56"/>
      <c r="G284" s="65"/>
      <c r="H284" s="65"/>
      <c r="I284" s="111"/>
      <c r="J284" s="111"/>
      <c r="K284" s="121"/>
      <c r="L284" s="121"/>
      <c r="M284" s="124"/>
      <c r="N284" s="121"/>
      <c r="O284" s="123"/>
      <c r="P284" s="123"/>
      <c r="Q284" s="65"/>
      <c r="R284" s="2"/>
      <c r="S284" s="2"/>
      <c r="T284" s="2"/>
      <c r="U284" s="2"/>
      <c r="V284" s="60"/>
      <c r="W284" s="240"/>
      <c r="X284" s="60"/>
      <c r="Y284" s="2"/>
      <c r="Z284" s="2"/>
      <c r="AA284" s="2"/>
      <c r="AC284" s="107"/>
      <c r="AD284" s="2"/>
      <c r="AE284" s="2"/>
      <c r="AF284" s="2"/>
      <c r="AG284" s="2"/>
      <c r="AH284" s="2"/>
      <c r="AM284" s="72"/>
      <c r="AN284" s="1206"/>
      <c r="AO284" s="72"/>
      <c r="AP284" s="118"/>
      <c r="AQ284" s="44"/>
      <c r="AR284" s="44"/>
      <c r="AS284" s="44"/>
      <c r="AT284" s="72"/>
      <c r="AU284" s="72"/>
      <c r="AV284" s="72"/>
      <c r="AW284" s="72"/>
      <c r="AX284" s="72"/>
      <c r="AY284" s="72"/>
      <c r="AZ284" s="72"/>
      <c r="BA284" s="72"/>
      <c r="BB284" s="72"/>
      <c r="BC284" s="72"/>
      <c r="BD284" s="72"/>
      <c r="BE284" s="72"/>
      <c r="BF284" s="72"/>
      <c r="BG284" s="72"/>
      <c r="BH284" s="72"/>
      <c r="BI284" s="72"/>
      <c r="BJ284" s="72"/>
      <c r="BK284" s="72"/>
      <c r="BL284" s="72"/>
      <c r="BM284" s="72"/>
      <c r="BN284" s="72"/>
    </row>
    <row r="285" spans="3:66" s="42" customFormat="1" ht="16.149999999999999" customHeight="1" x14ac:dyDescent="0.25">
      <c r="C285" s="60"/>
      <c r="D285" s="60"/>
      <c r="E285" s="60"/>
      <c r="F285" s="56"/>
      <c r="G285" s="65"/>
      <c r="H285" s="65"/>
      <c r="I285" s="111"/>
      <c r="J285" s="111"/>
      <c r="K285" s="121"/>
      <c r="L285" s="121"/>
      <c r="M285" s="124"/>
      <c r="N285" s="121"/>
      <c r="O285" s="123"/>
      <c r="P285" s="123"/>
      <c r="Q285" s="65"/>
      <c r="R285" s="2"/>
      <c r="S285" s="2"/>
      <c r="T285" s="2"/>
      <c r="U285" s="2"/>
      <c r="V285" s="60"/>
      <c r="W285" s="240"/>
      <c r="X285" s="60"/>
      <c r="Y285" s="2"/>
      <c r="Z285" s="2"/>
      <c r="AA285" s="2"/>
      <c r="AC285" s="107"/>
      <c r="AD285" s="2"/>
      <c r="AE285" s="2"/>
      <c r="AF285" s="2"/>
      <c r="AG285" s="2"/>
      <c r="AH285" s="2"/>
      <c r="AM285" s="72"/>
      <c r="AN285" s="1206"/>
      <c r="AO285" s="72"/>
      <c r="AP285" s="118"/>
      <c r="AQ285" s="44"/>
      <c r="AR285" s="44"/>
      <c r="AS285" s="44"/>
      <c r="AT285" s="72"/>
      <c r="AU285" s="72"/>
      <c r="AV285" s="72"/>
      <c r="AW285" s="72"/>
      <c r="AX285" s="72"/>
      <c r="AY285" s="72"/>
      <c r="AZ285" s="72"/>
      <c r="BA285" s="72"/>
      <c r="BB285" s="72"/>
      <c r="BC285" s="72"/>
      <c r="BD285" s="72"/>
      <c r="BE285" s="72"/>
      <c r="BF285" s="72"/>
      <c r="BG285" s="72"/>
      <c r="BH285" s="72"/>
      <c r="BI285" s="72"/>
      <c r="BJ285" s="72"/>
      <c r="BK285" s="72"/>
      <c r="BL285" s="72"/>
      <c r="BM285" s="72"/>
      <c r="BN285" s="72"/>
    </row>
    <row r="286" spans="3:66" s="42" customFormat="1" ht="16.149999999999999" customHeight="1" x14ac:dyDescent="0.25">
      <c r="C286" s="60"/>
      <c r="D286" s="60"/>
      <c r="E286" s="60"/>
      <c r="F286" s="56"/>
      <c r="G286" s="65"/>
      <c r="H286" s="65"/>
      <c r="I286" s="111"/>
      <c r="J286" s="111"/>
      <c r="K286" s="121"/>
      <c r="L286" s="121"/>
      <c r="M286" s="124"/>
      <c r="N286" s="121"/>
      <c r="O286" s="123"/>
      <c r="P286" s="123"/>
      <c r="Q286" s="65"/>
      <c r="R286" s="2"/>
      <c r="S286" s="2"/>
      <c r="T286" s="2"/>
      <c r="U286" s="2"/>
      <c r="V286" s="60"/>
      <c r="W286" s="240"/>
      <c r="X286" s="60"/>
      <c r="Y286" s="2"/>
      <c r="Z286" s="2"/>
      <c r="AA286" s="2"/>
      <c r="AC286" s="107"/>
      <c r="AD286" s="2"/>
      <c r="AE286" s="2"/>
      <c r="AF286" s="2"/>
      <c r="AG286" s="2"/>
      <c r="AH286" s="2"/>
      <c r="AM286" s="72"/>
      <c r="AN286" s="1206"/>
      <c r="AO286" s="72"/>
      <c r="AP286" s="118"/>
      <c r="AQ286" s="44"/>
      <c r="AR286" s="44"/>
      <c r="AS286" s="72"/>
      <c r="AT286" s="72"/>
      <c r="AU286" s="72"/>
      <c r="AV286" s="72"/>
      <c r="AW286" s="72"/>
      <c r="AX286" s="72"/>
      <c r="AY286" s="72"/>
      <c r="AZ286" s="72"/>
      <c r="BA286" s="72"/>
      <c r="BB286" s="72"/>
      <c r="BC286" s="72"/>
      <c r="BD286" s="72"/>
      <c r="BE286" s="72"/>
      <c r="BF286" s="72"/>
      <c r="BG286" s="72"/>
      <c r="BH286" s="72"/>
      <c r="BI286" s="72"/>
      <c r="BJ286" s="72"/>
      <c r="BK286" s="72"/>
      <c r="BL286" s="72"/>
      <c r="BM286" s="72"/>
      <c r="BN286" s="72"/>
    </row>
    <row r="287" spans="3:66" s="42" customFormat="1" ht="16.149999999999999" customHeight="1" x14ac:dyDescent="0.25">
      <c r="C287" s="60"/>
      <c r="D287" s="60"/>
      <c r="E287" s="60"/>
      <c r="F287" s="56"/>
      <c r="G287" s="65"/>
      <c r="H287" s="65"/>
      <c r="I287" s="111"/>
      <c r="J287" s="111"/>
      <c r="K287" s="121"/>
      <c r="L287" s="121"/>
      <c r="M287" s="124"/>
      <c r="N287" s="121"/>
      <c r="O287" s="123"/>
      <c r="P287" s="123"/>
      <c r="Q287" s="65"/>
      <c r="R287" s="2"/>
      <c r="S287" s="2"/>
      <c r="T287" s="2"/>
      <c r="U287" s="2"/>
      <c r="V287" s="60"/>
      <c r="W287" s="240"/>
      <c r="X287" s="60"/>
      <c r="Y287" s="2"/>
      <c r="Z287" s="2"/>
      <c r="AA287" s="2"/>
      <c r="AC287" s="107"/>
      <c r="AD287" s="2"/>
      <c r="AE287" s="2"/>
      <c r="AF287" s="2"/>
      <c r="AG287" s="2"/>
      <c r="AH287" s="2"/>
      <c r="AM287" s="72"/>
      <c r="AN287" s="1206"/>
      <c r="AO287" s="72"/>
      <c r="AP287" s="118"/>
      <c r="AQ287" s="44"/>
      <c r="AR287" s="44"/>
      <c r="AS287" s="72"/>
      <c r="AT287" s="72"/>
      <c r="AU287" s="72"/>
      <c r="AV287" s="72"/>
      <c r="AW287" s="72"/>
      <c r="AX287" s="72"/>
      <c r="AY287" s="72"/>
      <c r="AZ287" s="72"/>
      <c r="BA287" s="72"/>
      <c r="BB287" s="72"/>
      <c r="BC287" s="72"/>
      <c r="BD287" s="72"/>
      <c r="BE287" s="72"/>
      <c r="BF287" s="72"/>
      <c r="BG287" s="72"/>
      <c r="BH287" s="72"/>
      <c r="BI287" s="72"/>
      <c r="BJ287" s="72"/>
      <c r="BK287" s="72"/>
      <c r="BL287" s="72"/>
      <c r="BM287" s="72"/>
      <c r="BN287" s="72"/>
    </row>
    <row r="288" spans="3:66" s="42" customFormat="1" ht="16.149999999999999" customHeight="1" x14ac:dyDescent="0.25">
      <c r="C288" s="60"/>
      <c r="D288" s="60"/>
      <c r="E288" s="60"/>
      <c r="F288" s="56"/>
      <c r="G288" s="65"/>
      <c r="H288" s="65"/>
      <c r="I288" s="111"/>
      <c r="J288" s="111"/>
      <c r="K288" s="121"/>
      <c r="L288" s="121"/>
      <c r="M288" s="124"/>
      <c r="N288" s="121"/>
      <c r="O288" s="123"/>
      <c r="P288" s="123"/>
      <c r="Q288" s="65"/>
      <c r="R288" s="2"/>
      <c r="S288" s="2"/>
      <c r="T288" s="2"/>
      <c r="U288" s="2"/>
      <c r="V288" s="60"/>
      <c r="W288" s="240"/>
      <c r="X288" s="60"/>
      <c r="Y288" s="2"/>
      <c r="Z288" s="2"/>
      <c r="AA288" s="2"/>
      <c r="AC288" s="107"/>
      <c r="AD288" s="2"/>
      <c r="AE288" s="2"/>
      <c r="AF288" s="2"/>
      <c r="AG288" s="2"/>
      <c r="AH288" s="2"/>
      <c r="AM288" s="72"/>
      <c r="AN288" s="1206"/>
      <c r="AO288" s="72"/>
      <c r="AP288" s="118"/>
      <c r="AQ288" s="44"/>
      <c r="AR288" s="44"/>
      <c r="AS288" s="44"/>
      <c r="AT288" s="72"/>
      <c r="AU288" s="72"/>
      <c r="AV288" s="72"/>
      <c r="AW288" s="72"/>
      <c r="AX288" s="72"/>
      <c r="AY288" s="72"/>
      <c r="AZ288" s="72"/>
      <c r="BA288" s="72"/>
      <c r="BB288" s="72"/>
      <c r="BC288" s="72"/>
      <c r="BD288" s="72"/>
      <c r="BE288" s="72"/>
      <c r="BF288" s="72"/>
      <c r="BG288" s="72"/>
      <c r="BH288" s="72"/>
      <c r="BI288" s="72"/>
      <c r="BJ288" s="72"/>
      <c r="BK288" s="72"/>
      <c r="BL288" s="72"/>
      <c r="BM288" s="72"/>
      <c r="BN288" s="72"/>
    </row>
    <row r="289" spans="3:66" s="42" customFormat="1" ht="16.149999999999999" customHeight="1" x14ac:dyDescent="0.25">
      <c r="C289" s="60"/>
      <c r="D289" s="60"/>
      <c r="E289" s="60"/>
      <c r="F289" s="56"/>
      <c r="G289" s="65"/>
      <c r="H289" s="65"/>
      <c r="I289" s="111"/>
      <c r="J289" s="111"/>
      <c r="K289" s="121"/>
      <c r="L289" s="121"/>
      <c r="M289" s="124"/>
      <c r="N289" s="121"/>
      <c r="O289" s="123"/>
      <c r="P289" s="123"/>
      <c r="Q289" s="65"/>
      <c r="R289" s="2"/>
      <c r="S289" s="2"/>
      <c r="T289" s="2"/>
      <c r="U289" s="2"/>
      <c r="V289" s="60"/>
      <c r="W289" s="240"/>
      <c r="X289" s="60"/>
      <c r="Y289" s="2"/>
      <c r="Z289" s="2"/>
      <c r="AA289" s="2"/>
      <c r="AC289" s="107"/>
      <c r="AD289" s="2"/>
      <c r="AE289" s="2"/>
      <c r="AF289" s="2"/>
      <c r="AG289" s="2"/>
      <c r="AH289" s="2"/>
      <c r="AM289" s="72"/>
      <c r="AN289" s="1206"/>
      <c r="AO289" s="72"/>
      <c r="AP289" s="118"/>
      <c r="AQ289" s="44"/>
      <c r="AR289" s="44"/>
      <c r="AS289" s="72"/>
      <c r="AT289" s="72"/>
      <c r="AU289" s="72"/>
      <c r="AV289" s="72"/>
      <c r="AW289" s="72"/>
      <c r="AX289" s="72"/>
      <c r="AY289" s="72"/>
      <c r="AZ289" s="72"/>
      <c r="BA289" s="72"/>
      <c r="BB289" s="72"/>
      <c r="BC289" s="72"/>
      <c r="BD289" s="72"/>
      <c r="BE289" s="72"/>
      <c r="BF289" s="72"/>
      <c r="BG289" s="72"/>
      <c r="BH289" s="72"/>
      <c r="BI289" s="72"/>
      <c r="BJ289" s="72"/>
      <c r="BK289" s="72"/>
      <c r="BL289" s="72"/>
      <c r="BM289" s="72"/>
      <c r="BN289" s="72"/>
    </row>
    <row r="290" spans="3:66" s="42" customFormat="1" ht="16.149999999999999" customHeight="1" x14ac:dyDescent="0.25">
      <c r="C290" s="60"/>
      <c r="D290" s="60"/>
      <c r="E290" s="60"/>
      <c r="F290" s="56"/>
      <c r="G290" s="65"/>
      <c r="H290" s="65"/>
      <c r="I290" s="111"/>
      <c r="J290" s="111"/>
      <c r="K290" s="121"/>
      <c r="L290" s="121"/>
      <c r="M290" s="124"/>
      <c r="N290" s="121"/>
      <c r="O290" s="123"/>
      <c r="P290" s="123"/>
      <c r="Q290" s="65"/>
      <c r="R290" s="2"/>
      <c r="S290" s="2"/>
      <c r="T290" s="2"/>
      <c r="U290" s="2"/>
      <c r="V290" s="60"/>
      <c r="W290" s="240"/>
      <c r="X290" s="60"/>
      <c r="Y290" s="2"/>
      <c r="Z290" s="2"/>
      <c r="AA290" s="2"/>
      <c r="AC290" s="107"/>
      <c r="AD290" s="2"/>
      <c r="AE290" s="2"/>
      <c r="AF290" s="2"/>
      <c r="AG290" s="2"/>
      <c r="AH290" s="2"/>
      <c r="AM290" s="72"/>
      <c r="AN290" s="1206"/>
      <c r="AO290" s="72"/>
      <c r="AP290" s="118"/>
      <c r="AQ290" s="44"/>
      <c r="AR290" s="44"/>
      <c r="AS290" s="44"/>
      <c r="AT290" s="72"/>
      <c r="AU290" s="72"/>
      <c r="AV290" s="72"/>
      <c r="AW290" s="72"/>
      <c r="AX290" s="72"/>
      <c r="AY290" s="72"/>
      <c r="AZ290" s="72"/>
      <c r="BA290" s="72"/>
      <c r="BB290" s="72"/>
      <c r="BC290" s="72"/>
      <c r="BD290" s="72"/>
      <c r="BE290" s="72"/>
      <c r="BF290" s="72"/>
      <c r="BG290" s="72"/>
      <c r="BH290" s="72"/>
      <c r="BI290" s="72"/>
      <c r="BJ290" s="72"/>
      <c r="BK290" s="72"/>
      <c r="BL290" s="72"/>
      <c r="BM290" s="72"/>
      <c r="BN290" s="72"/>
    </row>
    <row r="291" spans="3:66" s="42" customFormat="1" ht="16.149999999999999" customHeight="1" x14ac:dyDescent="0.25">
      <c r="C291" s="60"/>
      <c r="D291" s="60"/>
      <c r="E291" s="60"/>
      <c r="F291" s="130"/>
      <c r="G291" s="65"/>
      <c r="H291" s="65"/>
      <c r="I291" s="111"/>
      <c r="J291" s="111"/>
      <c r="K291" s="121"/>
      <c r="L291" s="121"/>
      <c r="M291" s="124"/>
      <c r="N291" s="121"/>
      <c r="O291" s="123"/>
      <c r="P291" s="123"/>
      <c r="Q291" s="65"/>
      <c r="R291" s="2"/>
      <c r="S291" s="2"/>
      <c r="T291" s="2"/>
      <c r="U291" s="2"/>
      <c r="V291" s="60"/>
      <c r="W291" s="240"/>
      <c r="X291" s="60"/>
      <c r="Y291" s="2"/>
      <c r="Z291" s="2"/>
      <c r="AA291" s="2"/>
      <c r="AC291" s="107"/>
      <c r="AD291" s="2"/>
      <c r="AE291" s="2"/>
      <c r="AF291" s="2"/>
      <c r="AG291" s="2"/>
      <c r="AH291" s="2"/>
      <c r="AM291" s="72"/>
      <c r="AN291" s="1206"/>
      <c r="AO291" s="72"/>
      <c r="AP291" s="118"/>
      <c r="AQ291" s="44"/>
      <c r="AR291" s="44"/>
      <c r="AS291" s="44"/>
      <c r="AT291" s="72"/>
      <c r="AU291" s="72"/>
      <c r="AV291" s="72"/>
      <c r="AW291" s="72"/>
      <c r="AX291" s="72"/>
      <c r="AY291" s="72"/>
      <c r="AZ291" s="72"/>
      <c r="BA291" s="72"/>
      <c r="BB291" s="72"/>
      <c r="BC291" s="72"/>
      <c r="BD291" s="72"/>
      <c r="BE291" s="72"/>
      <c r="BF291" s="72"/>
      <c r="BG291" s="72"/>
      <c r="BH291" s="72"/>
      <c r="BI291" s="72"/>
      <c r="BJ291" s="72"/>
      <c r="BK291" s="72"/>
      <c r="BL291" s="72"/>
      <c r="BM291" s="72"/>
      <c r="BN291" s="72"/>
    </row>
    <row r="292" spans="3:66" s="42" customFormat="1" ht="16.149999999999999" customHeight="1" x14ac:dyDescent="0.25">
      <c r="C292" s="60"/>
      <c r="D292" s="60"/>
      <c r="E292" s="60"/>
      <c r="F292" s="56"/>
      <c r="G292" s="65"/>
      <c r="H292" s="65"/>
      <c r="I292" s="111"/>
      <c r="J292" s="111"/>
      <c r="K292" s="121"/>
      <c r="L292" s="121"/>
      <c r="M292" s="124"/>
      <c r="N292" s="121"/>
      <c r="O292" s="123"/>
      <c r="P292" s="123"/>
      <c r="Q292" s="65"/>
      <c r="R292" s="2"/>
      <c r="S292" s="2"/>
      <c r="T292" s="2"/>
      <c r="U292" s="2"/>
      <c r="V292" s="60"/>
      <c r="W292" s="240"/>
      <c r="X292" s="60"/>
      <c r="Y292" s="2"/>
      <c r="Z292" s="2"/>
      <c r="AA292" s="2"/>
      <c r="AC292" s="107"/>
      <c r="AD292" s="2"/>
      <c r="AE292" s="2"/>
      <c r="AF292" s="2"/>
      <c r="AG292" s="2"/>
      <c r="AH292" s="2"/>
      <c r="AM292" s="72"/>
      <c r="AN292" s="1206"/>
      <c r="AO292" s="72"/>
      <c r="AP292" s="118"/>
      <c r="AQ292" s="44"/>
      <c r="AR292" s="44"/>
      <c r="AS292" s="72"/>
      <c r="AT292" s="72"/>
      <c r="AU292" s="72"/>
      <c r="AV292" s="72"/>
      <c r="AW292" s="72"/>
      <c r="AX292" s="72"/>
      <c r="AY292" s="72"/>
      <c r="AZ292" s="72"/>
      <c r="BA292" s="72"/>
      <c r="BB292" s="72"/>
      <c r="BC292" s="72"/>
      <c r="BD292" s="72"/>
      <c r="BE292" s="72"/>
      <c r="BF292" s="72"/>
      <c r="BG292" s="72"/>
      <c r="BH292" s="72"/>
      <c r="BI292" s="72"/>
      <c r="BJ292" s="72"/>
      <c r="BK292" s="72"/>
      <c r="BL292" s="72"/>
      <c r="BM292" s="72"/>
      <c r="BN292" s="72"/>
    </row>
    <row r="293" spans="3:66" s="4" customFormat="1" ht="16.149999999999999" customHeight="1" x14ac:dyDescent="0.25">
      <c r="C293" s="60"/>
      <c r="D293" s="60"/>
      <c r="E293" s="60"/>
      <c r="F293" s="56"/>
      <c r="G293" s="65"/>
      <c r="H293" s="65"/>
      <c r="I293" s="111"/>
      <c r="J293" s="111"/>
      <c r="K293" s="121"/>
      <c r="L293" s="121"/>
      <c r="M293" s="124"/>
      <c r="N293" s="121"/>
      <c r="O293" s="123"/>
      <c r="P293" s="123"/>
      <c r="Q293" s="65"/>
      <c r="R293" s="2"/>
      <c r="S293" s="2"/>
      <c r="T293" s="2"/>
      <c r="U293" s="2"/>
      <c r="V293" s="60"/>
      <c r="W293" s="240"/>
      <c r="X293" s="60"/>
      <c r="Y293" s="2"/>
      <c r="Z293" s="2"/>
      <c r="AA293" s="2"/>
      <c r="AC293" s="107"/>
      <c r="AD293" s="2"/>
      <c r="AE293" s="2"/>
      <c r="AF293" s="2"/>
      <c r="AG293" s="2"/>
      <c r="AH293" s="2"/>
      <c r="AI293" s="42"/>
      <c r="AJ293" s="42"/>
      <c r="AK293" s="42"/>
      <c r="AL293" s="42"/>
      <c r="AM293" s="72"/>
      <c r="AN293" s="1206"/>
      <c r="AO293" s="72"/>
      <c r="AP293" s="118"/>
      <c r="AQ293" s="44"/>
      <c r="AR293" s="44"/>
      <c r="AS293" s="44"/>
      <c r="AT293" s="72"/>
      <c r="AU293" s="72"/>
      <c r="AV293" s="72"/>
      <c r="AW293" s="72"/>
      <c r="AX293" s="72"/>
      <c r="AY293" s="72"/>
      <c r="AZ293" s="72"/>
      <c r="BA293" s="72"/>
      <c r="BB293" s="72"/>
      <c r="BC293" s="72"/>
      <c r="BD293" s="72"/>
      <c r="BE293" s="72"/>
      <c r="BF293" s="72"/>
      <c r="BG293" s="8"/>
      <c r="BH293" s="8"/>
      <c r="BI293" s="8"/>
      <c r="BJ293" s="8"/>
      <c r="BK293" s="8"/>
      <c r="BL293" s="72"/>
      <c r="BM293" s="72"/>
      <c r="BN293" s="72"/>
    </row>
    <row r="294" spans="3:66" s="4" customFormat="1" ht="16.149999999999999" customHeight="1" x14ac:dyDescent="0.25">
      <c r="C294" s="60"/>
      <c r="D294" s="60"/>
      <c r="E294" s="60"/>
      <c r="F294" s="129"/>
      <c r="G294" s="65"/>
      <c r="H294" s="65"/>
      <c r="I294" s="111"/>
      <c r="J294" s="111"/>
      <c r="K294" s="121"/>
      <c r="L294" s="121"/>
      <c r="M294" s="124"/>
      <c r="N294" s="121"/>
      <c r="O294" s="123"/>
      <c r="P294" s="123"/>
      <c r="Q294" s="65"/>
      <c r="R294" s="2"/>
      <c r="S294" s="2"/>
      <c r="T294" s="2"/>
      <c r="U294" s="2"/>
      <c r="V294" s="60"/>
      <c r="W294" s="240"/>
      <c r="X294" s="60"/>
      <c r="Y294" s="2"/>
      <c r="Z294" s="2"/>
      <c r="AA294" s="2"/>
      <c r="AC294" s="107"/>
      <c r="AD294" s="2"/>
      <c r="AE294" s="2"/>
      <c r="AF294" s="2"/>
      <c r="AG294" s="2"/>
      <c r="AH294" s="2"/>
      <c r="AI294" s="42"/>
      <c r="AJ294" s="42"/>
      <c r="AK294" s="42"/>
      <c r="AL294" s="42"/>
      <c r="AM294" s="72"/>
      <c r="AN294" s="1206"/>
      <c r="AO294" s="72"/>
      <c r="AP294" s="118"/>
      <c r="AQ294" s="44"/>
      <c r="AR294" s="44"/>
      <c r="AS294" s="72"/>
      <c r="AT294" s="72"/>
      <c r="AU294" s="72"/>
      <c r="AV294" s="72"/>
      <c r="AW294" s="72"/>
      <c r="AX294" s="72"/>
      <c r="AY294" s="72"/>
      <c r="AZ294" s="72"/>
      <c r="BA294" s="72"/>
      <c r="BB294" s="72"/>
      <c r="BC294" s="72"/>
      <c r="BD294" s="72"/>
      <c r="BE294" s="72"/>
      <c r="BF294" s="72"/>
      <c r="BG294" s="8"/>
      <c r="BH294" s="8"/>
      <c r="BI294" s="8"/>
      <c r="BJ294" s="8"/>
      <c r="BK294" s="8"/>
      <c r="BL294" s="8"/>
      <c r="BM294" s="8"/>
      <c r="BN294" s="8"/>
    </row>
    <row r="295" spans="3:66" s="4" customFormat="1" ht="16.149999999999999" customHeight="1" x14ac:dyDescent="0.25">
      <c r="C295" s="60"/>
      <c r="D295" s="60"/>
      <c r="E295" s="60"/>
      <c r="F295" s="56"/>
      <c r="G295" s="65"/>
      <c r="H295" s="65"/>
      <c r="I295" s="111"/>
      <c r="J295" s="111"/>
      <c r="K295" s="121"/>
      <c r="L295" s="121"/>
      <c r="M295" s="124"/>
      <c r="N295" s="121"/>
      <c r="O295" s="123"/>
      <c r="P295" s="123"/>
      <c r="Q295" s="65"/>
      <c r="R295" s="2"/>
      <c r="S295" s="2"/>
      <c r="T295" s="2"/>
      <c r="U295" s="2"/>
      <c r="V295" s="60"/>
      <c r="W295" s="240"/>
      <c r="X295" s="60"/>
      <c r="Y295" s="2"/>
      <c r="Z295" s="2"/>
      <c r="AA295" s="2"/>
      <c r="AC295" s="107"/>
      <c r="AD295" s="2"/>
      <c r="AE295" s="2"/>
      <c r="AF295" s="2"/>
      <c r="AG295" s="2"/>
      <c r="AH295" s="2"/>
      <c r="AI295" s="42"/>
      <c r="AJ295" s="42"/>
      <c r="AK295" s="42"/>
      <c r="AL295" s="42"/>
      <c r="AM295" s="72"/>
      <c r="AN295" s="1206"/>
      <c r="AO295" s="72"/>
      <c r="AP295" s="118"/>
      <c r="AQ295" s="44"/>
      <c r="AR295" s="44"/>
      <c r="AS295" s="44"/>
      <c r="AT295" s="72"/>
      <c r="AU295" s="72"/>
      <c r="AV295" s="72"/>
      <c r="AW295" s="72"/>
      <c r="AX295" s="72"/>
      <c r="AY295" s="72"/>
      <c r="AZ295" s="72"/>
      <c r="BA295" s="72"/>
      <c r="BB295" s="72"/>
      <c r="BC295" s="72"/>
      <c r="BD295" s="72"/>
      <c r="BE295" s="72"/>
      <c r="BF295" s="8"/>
      <c r="BG295" s="8"/>
      <c r="BH295" s="8"/>
      <c r="BI295" s="8"/>
      <c r="BJ295" s="8"/>
      <c r="BK295" s="8"/>
      <c r="BL295" s="8"/>
      <c r="BM295" s="8"/>
      <c r="BN295" s="8"/>
    </row>
    <row r="296" spans="3:66" s="4" customFormat="1" ht="16.149999999999999" customHeight="1" x14ac:dyDescent="0.25">
      <c r="C296" s="60"/>
      <c r="D296" s="60"/>
      <c r="E296" s="60"/>
      <c r="F296" s="56"/>
      <c r="G296" s="65"/>
      <c r="H296" s="65"/>
      <c r="I296" s="111"/>
      <c r="J296" s="111"/>
      <c r="K296" s="121"/>
      <c r="L296" s="121"/>
      <c r="M296" s="124"/>
      <c r="N296" s="121"/>
      <c r="O296" s="123"/>
      <c r="P296" s="123"/>
      <c r="Q296" s="65"/>
      <c r="R296" s="2"/>
      <c r="S296" s="2"/>
      <c r="T296" s="2"/>
      <c r="U296" s="2"/>
      <c r="V296" s="60"/>
      <c r="W296" s="240"/>
      <c r="X296" s="60"/>
      <c r="Y296" s="2"/>
      <c r="Z296" s="2"/>
      <c r="AA296" s="2"/>
      <c r="AC296" s="107"/>
      <c r="AD296" s="2"/>
      <c r="AE296" s="2"/>
      <c r="AF296" s="2"/>
      <c r="AG296" s="2"/>
      <c r="AH296" s="2"/>
      <c r="AI296" s="42"/>
      <c r="AJ296" s="42"/>
      <c r="AK296" s="42"/>
      <c r="AL296" s="42"/>
      <c r="AM296" s="72"/>
      <c r="AN296" s="1206"/>
      <c r="AO296" s="72"/>
      <c r="AP296" s="118"/>
      <c r="AQ296" s="44"/>
      <c r="AR296" s="44"/>
      <c r="AS296" s="44"/>
      <c r="AT296" s="72"/>
      <c r="AU296" s="72"/>
      <c r="AV296" s="72"/>
      <c r="AW296" s="72"/>
      <c r="AX296" s="72"/>
      <c r="AY296" s="72"/>
      <c r="AZ296" s="72"/>
      <c r="BA296" s="72"/>
      <c r="BB296" s="72"/>
      <c r="BC296" s="72"/>
      <c r="BD296" s="72"/>
      <c r="BE296" s="72"/>
      <c r="BF296" s="8"/>
      <c r="BG296" s="8"/>
      <c r="BH296" s="8"/>
      <c r="BI296" s="8"/>
      <c r="BJ296" s="8"/>
      <c r="BK296" s="8"/>
      <c r="BL296" s="8"/>
      <c r="BM296" s="8"/>
      <c r="BN296" s="8"/>
    </row>
    <row r="297" spans="3:66" s="4" customFormat="1" ht="16.149999999999999" customHeight="1" x14ac:dyDescent="0.25">
      <c r="C297" s="60"/>
      <c r="D297" s="60"/>
      <c r="E297" s="60"/>
      <c r="F297" s="56"/>
      <c r="G297" s="65"/>
      <c r="H297" s="65"/>
      <c r="I297" s="111"/>
      <c r="J297" s="111"/>
      <c r="K297" s="121"/>
      <c r="L297" s="121"/>
      <c r="M297" s="124"/>
      <c r="N297" s="121"/>
      <c r="O297" s="123"/>
      <c r="P297" s="123"/>
      <c r="Q297" s="65"/>
      <c r="R297" s="2"/>
      <c r="S297" s="2"/>
      <c r="T297" s="2"/>
      <c r="U297" s="2"/>
      <c r="V297" s="60"/>
      <c r="W297" s="240"/>
      <c r="X297" s="60"/>
      <c r="Y297" s="2"/>
      <c r="Z297" s="2"/>
      <c r="AA297" s="2"/>
      <c r="AC297" s="107"/>
      <c r="AD297" s="2"/>
      <c r="AE297" s="2"/>
      <c r="AF297" s="2"/>
      <c r="AG297" s="2"/>
      <c r="AH297" s="2"/>
      <c r="AI297" s="42"/>
      <c r="AJ297" s="42"/>
      <c r="AK297" s="42"/>
      <c r="AL297" s="42"/>
      <c r="AM297" s="72"/>
      <c r="AN297" s="1206"/>
      <c r="AO297" s="72"/>
      <c r="AP297" s="118"/>
      <c r="AQ297" s="44"/>
      <c r="AR297" s="44"/>
      <c r="AS297" s="72"/>
      <c r="AT297" s="72"/>
      <c r="AU297" s="72"/>
      <c r="AV297" s="72"/>
      <c r="AW297" s="72"/>
      <c r="AX297" s="72"/>
      <c r="AY297" s="72"/>
      <c r="AZ297" s="72"/>
      <c r="BA297" s="72"/>
      <c r="BB297" s="72"/>
      <c r="BC297" s="72"/>
      <c r="BD297" s="72"/>
      <c r="BE297" s="72"/>
      <c r="BF297" s="8"/>
      <c r="BG297" s="8"/>
      <c r="BH297" s="8"/>
      <c r="BI297" s="8"/>
      <c r="BJ297" s="8"/>
      <c r="BK297" s="8"/>
      <c r="BL297" s="8"/>
      <c r="BM297" s="8"/>
      <c r="BN297" s="8"/>
    </row>
    <row r="298" spans="3:66" s="4" customFormat="1" ht="16.149999999999999" customHeight="1" x14ac:dyDescent="0.25">
      <c r="C298" s="60"/>
      <c r="D298" s="60"/>
      <c r="E298" s="60"/>
      <c r="F298" s="56"/>
      <c r="G298" s="65"/>
      <c r="H298" s="65"/>
      <c r="I298" s="111"/>
      <c r="J298" s="111"/>
      <c r="K298" s="121"/>
      <c r="L298" s="121"/>
      <c r="M298" s="124"/>
      <c r="N298" s="121"/>
      <c r="O298" s="123"/>
      <c r="P298" s="123"/>
      <c r="Q298" s="65"/>
      <c r="R298" s="2"/>
      <c r="S298" s="2"/>
      <c r="T298" s="2"/>
      <c r="U298" s="2"/>
      <c r="V298" s="60"/>
      <c r="W298" s="240"/>
      <c r="X298" s="60"/>
      <c r="Y298" s="2"/>
      <c r="Z298" s="2"/>
      <c r="AA298" s="2"/>
      <c r="AC298" s="107"/>
      <c r="AD298" s="2"/>
      <c r="AE298" s="2"/>
      <c r="AF298" s="2"/>
      <c r="AG298" s="2"/>
      <c r="AH298" s="2"/>
      <c r="AI298" s="42"/>
      <c r="AJ298" s="42"/>
      <c r="AK298" s="42"/>
      <c r="AL298" s="42"/>
      <c r="AM298" s="72"/>
      <c r="AN298" s="1206"/>
      <c r="AO298" s="72"/>
      <c r="AP298" s="118"/>
      <c r="AQ298" s="44"/>
      <c r="AR298" s="44"/>
      <c r="AS298" s="72"/>
      <c r="AT298" s="72"/>
      <c r="AU298" s="72"/>
      <c r="AV298" s="72"/>
      <c r="AW298" s="72"/>
      <c r="AX298" s="72"/>
      <c r="AY298" s="72"/>
      <c r="AZ298" s="72"/>
      <c r="BA298" s="72"/>
      <c r="BB298" s="72"/>
      <c r="BC298" s="72"/>
      <c r="BD298" s="72"/>
      <c r="BE298" s="72"/>
      <c r="BF298" s="8"/>
      <c r="BG298" s="8"/>
      <c r="BH298" s="8"/>
      <c r="BI298" s="8"/>
      <c r="BJ298" s="8"/>
      <c r="BK298" s="8"/>
      <c r="BL298" s="8"/>
      <c r="BM298" s="8"/>
      <c r="BN298" s="8"/>
    </row>
    <row r="299" spans="3:66" s="4" customFormat="1" ht="16.149999999999999" customHeight="1" x14ac:dyDescent="0.25">
      <c r="C299" s="60"/>
      <c r="D299" s="60"/>
      <c r="E299" s="60"/>
      <c r="F299" s="56"/>
      <c r="G299" s="65"/>
      <c r="H299" s="65"/>
      <c r="I299" s="111"/>
      <c r="J299" s="111"/>
      <c r="K299" s="121"/>
      <c r="L299" s="121"/>
      <c r="M299" s="124"/>
      <c r="N299" s="121"/>
      <c r="O299" s="123"/>
      <c r="P299" s="123"/>
      <c r="Q299" s="65"/>
      <c r="R299" s="2"/>
      <c r="S299" s="2"/>
      <c r="T299" s="2"/>
      <c r="U299" s="2"/>
      <c r="V299" s="60"/>
      <c r="W299" s="240"/>
      <c r="X299" s="60"/>
      <c r="Y299" s="2"/>
      <c r="Z299" s="2"/>
      <c r="AA299" s="2"/>
      <c r="AC299" s="107"/>
      <c r="AD299" s="2"/>
      <c r="AE299" s="2"/>
      <c r="AF299" s="2"/>
      <c r="AG299" s="2"/>
      <c r="AH299" s="2"/>
      <c r="AI299" s="42"/>
      <c r="AJ299" s="42"/>
      <c r="AK299" s="42"/>
      <c r="AL299" s="42"/>
      <c r="AM299" s="72"/>
      <c r="AN299" s="1206"/>
      <c r="AO299" s="72"/>
      <c r="AP299" s="118"/>
      <c r="AQ299" s="44"/>
      <c r="AR299" s="44"/>
      <c r="AS299" s="72"/>
      <c r="AT299" s="72"/>
      <c r="AU299" s="72"/>
      <c r="AV299" s="72"/>
      <c r="AW299" s="72"/>
      <c r="AX299" s="72"/>
      <c r="AY299" s="72"/>
      <c r="AZ299" s="72"/>
      <c r="BA299" s="72"/>
      <c r="BB299" s="72"/>
      <c r="BC299" s="72"/>
      <c r="BD299" s="72"/>
      <c r="BE299" s="72"/>
      <c r="BF299" s="8"/>
      <c r="BG299" s="8"/>
      <c r="BH299" s="8"/>
      <c r="BI299" s="8"/>
      <c r="BJ299" s="8"/>
      <c r="BK299" s="8"/>
      <c r="BL299" s="8"/>
      <c r="BM299" s="8"/>
      <c r="BN299" s="8"/>
    </row>
    <row r="300" spans="3:66" s="4" customFormat="1" ht="16.149999999999999" customHeight="1" x14ac:dyDescent="0.25">
      <c r="C300" s="60"/>
      <c r="D300" s="60"/>
      <c r="E300" s="60"/>
      <c r="F300" s="56"/>
      <c r="G300" s="65"/>
      <c r="H300" s="65"/>
      <c r="I300" s="111"/>
      <c r="J300" s="111"/>
      <c r="K300" s="121"/>
      <c r="L300" s="121"/>
      <c r="M300" s="124"/>
      <c r="N300" s="121"/>
      <c r="O300" s="123"/>
      <c r="P300" s="123"/>
      <c r="Q300" s="65"/>
      <c r="R300" s="2"/>
      <c r="S300" s="2"/>
      <c r="T300" s="2"/>
      <c r="U300" s="2"/>
      <c r="V300" s="60"/>
      <c r="W300" s="240"/>
      <c r="X300" s="60"/>
      <c r="Y300" s="2"/>
      <c r="Z300" s="2"/>
      <c r="AA300" s="2"/>
      <c r="AC300" s="107"/>
      <c r="AD300" s="2"/>
      <c r="AE300" s="2"/>
      <c r="AF300" s="2"/>
      <c r="AG300" s="2"/>
      <c r="AH300" s="2"/>
      <c r="AI300" s="42"/>
      <c r="AJ300" s="42"/>
      <c r="AK300" s="42"/>
      <c r="AL300" s="42"/>
      <c r="AM300" s="72"/>
      <c r="AN300" s="1206"/>
      <c r="AO300" s="72"/>
      <c r="AP300" s="118"/>
      <c r="AQ300" s="44"/>
      <c r="AR300" s="44"/>
      <c r="AS300" s="72"/>
      <c r="AT300" s="72"/>
      <c r="AU300" s="72"/>
      <c r="AV300" s="72"/>
      <c r="AW300" s="72"/>
      <c r="AX300" s="72"/>
      <c r="AY300" s="72"/>
      <c r="AZ300" s="72"/>
      <c r="BA300" s="72"/>
      <c r="BB300" s="72"/>
      <c r="BC300" s="72"/>
      <c r="BD300" s="72"/>
      <c r="BE300" s="72"/>
      <c r="BF300" s="8"/>
      <c r="BG300" s="8"/>
      <c r="BH300" s="8"/>
      <c r="BI300" s="8"/>
      <c r="BJ300" s="8"/>
      <c r="BK300" s="8"/>
      <c r="BL300" s="8"/>
      <c r="BM300" s="8"/>
      <c r="BN300" s="8"/>
    </row>
    <row r="301" spans="3:66" s="4" customFormat="1" ht="16.149999999999999" customHeight="1" x14ac:dyDescent="0.25">
      <c r="C301" s="60"/>
      <c r="D301" s="60"/>
      <c r="E301" s="60"/>
      <c r="F301" s="56"/>
      <c r="G301" s="65"/>
      <c r="H301" s="65"/>
      <c r="I301" s="111"/>
      <c r="J301" s="111"/>
      <c r="K301" s="121"/>
      <c r="L301" s="121"/>
      <c r="M301" s="124"/>
      <c r="N301" s="121"/>
      <c r="O301" s="123"/>
      <c r="P301" s="123"/>
      <c r="Q301" s="65"/>
      <c r="R301" s="2"/>
      <c r="S301" s="2"/>
      <c r="T301" s="2"/>
      <c r="U301" s="2"/>
      <c r="V301" s="60"/>
      <c r="W301" s="240"/>
      <c r="X301" s="60"/>
      <c r="Y301" s="2"/>
      <c r="Z301" s="2"/>
      <c r="AA301" s="2"/>
      <c r="AC301" s="107"/>
      <c r="AD301" s="2"/>
      <c r="AE301" s="2"/>
      <c r="AF301" s="2"/>
      <c r="AG301" s="2"/>
      <c r="AH301" s="2"/>
      <c r="AI301" s="42"/>
      <c r="AJ301" s="42"/>
      <c r="AK301" s="42"/>
      <c r="AL301" s="42"/>
      <c r="AM301" s="72"/>
      <c r="AN301" s="1206"/>
      <c r="AO301" s="72"/>
      <c r="AP301" s="118"/>
      <c r="AQ301" s="44"/>
      <c r="AR301" s="44"/>
      <c r="AS301" s="72"/>
      <c r="AT301" s="72"/>
      <c r="AU301" s="72"/>
      <c r="AV301" s="72"/>
      <c r="AW301" s="72"/>
      <c r="AX301" s="72"/>
      <c r="AY301" s="72"/>
      <c r="AZ301" s="72"/>
      <c r="BA301" s="72"/>
      <c r="BB301" s="72"/>
      <c r="BC301" s="72"/>
      <c r="BD301" s="72"/>
      <c r="BE301" s="72"/>
      <c r="BF301" s="8"/>
      <c r="BG301" s="8"/>
      <c r="BH301" s="8"/>
      <c r="BI301" s="8"/>
      <c r="BJ301" s="8"/>
      <c r="BK301" s="8"/>
      <c r="BL301" s="8"/>
      <c r="BM301" s="8"/>
      <c r="BN301" s="8"/>
    </row>
    <row r="302" spans="3:66" s="4" customFormat="1" ht="16.149999999999999" customHeight="1" x14ac:dyDescent="0.25">
      <c r="C302" s="60"/>
      <c r="D302" s="60"/>
      <c r="E302" s="60"/>
      <c r="F302" s="56"/>
      <c r="G302" s="65"/>
      <c r="H302" s="65"/>
      <c r="I302" s="111"/>
      <c r="J302" s="111"/>
      <c r="K302" s="121"/>
      <c r="L302" s="121"/>
      <c r="M302" s="124"/>
      <c r="N302" s="121"/>
      <c r="O302" s="123"/>
      <c r="P302" s="123"/>
      <c r="Q302" s="65"/>
      <c r="R302" s="2"/>
      <c r="S302" s="2"/>
      <c r="T302" s="2"/>
      <c r="U302" s="2"/>
      <c r="V302" s="60"/>
      <c r="W302" s="240"/>
      <c r="X302" s="60"/>
      <c r="Y302" s="2"/>
      <c r="Z302" s="2"/>
      <c r="AA302" s="2"/>
      <c r="AC302" s="107"/>
      <c r="AD302" s="2"/>
      <c r="AE302" s="2"/>
      <c r="AF302" s="2"/>
      <c r="AG302" s="2"/>
      <c r="AH302" s="2"/>
      <c r="AI302" s="42"/>
      <c r="AJ302" s="42"/>
      <c r="AK302" s="42"/>
      <c r="AL302" s="42"/>
      <c r="AM302" s="72"/>
      <c r="AN302" s="1206"/>
      <c r="AO302" s="72"/>
      <c r="AP302" s="118"/>
      <c r="AQ302" s="72"/>
      <c r="AR302" s="72"/>
      <c r="AS302" s="72"/>
      <c r="AT302" s="72"/>
      <c r="AU302" s="72"/>
      <c r="AV302" s="72"/>
      <c r="AW302" s="72"/>
      <c r="AX302" s="72"/>
      <c r="AY302" s="72"/>
      <c r="AZ302" s="72"/>
      <c r="BA302" s="72"/>
      <c r="BB302" s="72"/>
      <c r="BC302" s="72"/>
      <c r="BD302" s="72"/>
      <c r="BE302" s="72"/>
      <c r="BF302" s="8"/>
      <c r="BG302" s="8"/>
      <c r="BH302" s="8"/>
      <c r="BI302" s="8"/>
      <c r="BJ302" s="8"/>
      <c r="BK302" s="8"/>
      <c r="BL302" s="8"/>
      <c r="BM302" s="8"/>
      <c r="BN302" s="8"/>
    </row>
    <row r="303" spans="3:66" ht="16.149999999999999" customHeight="1" x14ac:dyDescent="0.25">
      <c r="AB303" s="2"/>
      <c r="AI303" s="42"/>
      <c r="AJ303" s="42"/>
      <c r="AK303" s="42"/>
      <c r="AL303" s="42"/>
      <c r="BF303" s="8"/>
      <c r="BL303" s="8"/>
      <c r="BM303" s="8"/>
      <c r="BN303" s="8"/>
    </row>
    <row r="304" spans="3:66" ht="16.149999999999999" customHeight="1" x14ac:dyDescent="0.25">
      <c r="AB304" s="2"/>
      <c r="AI304" s="42"/>
      <c r="AJ304" s="42"/>
      <c r="AK304" s="42"/>
      <c r="AL304" s="42"/>
      <c r="BF304" s="8"/>
    </row>
    <row r="305" spans="28:38" ht="16.149999999999999" customHeight="1" x14ac:dyDescent="0.25">
      <c r="AB305" s="2"/>
      <c r="AI305" s="42"/>
      <c r="AJ305" s="42"/>
      <c r="AK305" s="42"/>
      <c r="AL305" s="42"/>
    </row>
    <row r="306" spans="28:38" ht="16.149999999999999" customHeight="1" x14ac:dyDescent="0.25">
      <c r="AB306" s="2"/>
      <c r="AI306" s="42"/>
      <c r="AJ306" s="42"/>
      <c r="AK306" s="42"/>
      <c r="AL306" s="42"/>
    </row>
    <row r="307" spans="28:38" ht="16.149999999999999" customHeight="1" x14ac:dyDescent="0.25">
      <c r="AB307" s="2"/>
      <c r="AI307" s="42"/>
      <c r="AJ307" s="42"/>
      <c r="AK307" s="42"/>
      <c r="AL307" s="42"/>
    </row>
    <row r="308" spans="28:38" ht="16.149999999999999" customHeight="1" x14ac:dyDescent="0.25">
      <c r="AB308" s="2"/>
      <c r="AI308" s="42"/>
      <c r="AJ308" s="42"/>
      <c r="AK308" s="42"/>
      <c r="AL308" s="42"/>
    </row>
    <row r="309" spans="28:38" ht="16.149999999999999" customHeight="1" x14ac:dyDescent="0.25">
      <c r="AB309" s="2"/>
      <c r="AI309" s="42"/>
      <c r="AJ309" s="42"/>
      <c r="AK309" s="42"/>
      <c r="AL309" s="42"/>
    </row>
    <row r="310" spans="28:38" ht="16.149999999999999" customHeight="1" x14ac:dyDescent="0.25">
      <c r="AB310" s="2"/>
      <c r="AI310" s="42"/>
      <c r="AJ310" s="42"/>
      <c r="AK310" s="42"/>
      <c r="AL310" s="42"/>
    </row>
    <row r="311" spans="28:38" ht="16.149999999999999" customHeight="1" x14ac:dyDescent="0.25">
      <c r="AB311" s="2"/>
      <c r="AI311" s="42"/>
      <c r="AJ311" s="42"/>
      <c r="AK311" s="42"/>
      <c r="AL311" s="42"/>
    </row>
    <row r="312" spans="28:38" ht="16.149999999999999" customHeight="1" x14ac:dyDescent="0.25">
      <c r="AB312" s="2"/>
      <c r="AI312" s="42"/>
      <c r="AJ312" s="42"/>
      <c r="AK312" s="42"/>
      <c r="AL312" s="42"/>
    </row>
    <row r="313" spans="28:38" ht="16.149999999999999" customHeight="1" x14ac:dyDescent="0.25">
      <c r="AB313" s="2"/>
      <c r="AI313" s="42"/>
      <c r="AJ313" s="42"/>
      <c r="AK313" s="42"/>
      <c r="AL313" s="42"/>
    </row>
    <row r="314" spans="28:38" ht="16.149999999999999" customHeight="1" x14ac:dyDescent="0.25">
      <c r="AB314" s="2"/>
      <c r="AI314" s="42"/>
      <c r="AJ314" s="42"/>
      <c r="AK314" s="42"/>
      <c r="AL314" s="42"/>
    </row>
    <row r="315" spans="28:38" ht="16.149999999999999" customHeight="1" x14ac:dyDescent="0.25">
      <c r="AB315" s="2"/>
      <c r="AI315" s="42"/>
      <c r="AJ315" s="42"/>
      <c r="AK315" s="42"/>
      <c r="AL315" s="42"/>
    </row>
    <row r="316" spans="28:38" ht="16.149999999999999" customHeight="1" x14ac:dyDescent="0.25">
      <c r="AB316" s="2"/>
      <c r="AI316" s="42"/>
      <c r="AJ316" s="42"/>
      <c r="AK316" s="42"/>
      <c r="AL316" s="42"/>
    </row>
    <row r="317" spans="28:38" ht="16.149999999999999" customHeight="1" x14ac:dyDescent="0.25">
      <c r="AB317" s="2"/>
      <c r="AI317" s="42"/>
      <c r="AJ317" s="42"/>
      <c r="AK317" s="42"/>
      <c r="AL317" s="42"/>
    </row>
    <row r="318" spans="28:38" ht="16.149999999999999" customHeight="1" x14ac:dyDescent="0.25">
      <c r="AB318" s="2"/>
      <c r="AI318" s="42"/>
      <c r="AJ318" s="42"/>
      <c r="AK318" s="42"/>
      <c r="AL318" s="42"/>
    </row>
    <row r="319" spans="28:38" ht="16.149999999999999" customHeight="1" x14ac:dyDescent="0.25">
      <c r="AB319" s="2"/>
      <c r="AI319" s="42"/>
      <c r="AJ319" s="42"/>
      <c r="AK319" s="42"/>
      <c r="AL319" s="42"/>
    </row>
    <row r="320" spans="28:38" ht="16.149999999999999" customHeight="1" x14ac:dyDescent="0.25">
      <c r="AB320" s="2"/>
      <c r="AI320" s="42"/>
      <c r="AJ320" s="42"/>
      <c r="AK320" s="42"/>
      <c r="AL320" s="42"/>
    </row>
    <row r="321" spans="28:38" ht="16.149999999999999" customHeight="1" x14ac:dyDescent="0.25">
      <c r="AB321" s="2"/>
      <c r="AI321" s="42"/>
      <c r="AJ321" s="42"/>
      <c r="AK321" s="42"/>
      <c r="AL321" s="42"/>
    </row>
    <row r="322" spans="28:38" ht="16.149999999999999" customHeight="1" x14ac:dyDescent="0.25">
      <c r="AB322" s="2"/>
    </row>
    <row r="323" spans="28:38" ht="16.149999999999999" customHeight="1" x14ac:dyDescent="0.25">
      <c r="AB323" s="2"/>
    </row>
    <row r="324" spans="28:38" ht="16.149999999999999" customHeight="1" x14ac:dyDescent="0.25">
      <c r="AB324" s="2"/>
    </row>
    <row r="325" spans="28:38" ht="16.149999999999999" customHeight="1" x14ac:dyDescent="0.25">
      <c r="AB325" s="2"/>
    </row>
    <row r="326" spans="28:38" ht="16.149999999999999" customHeight="1" x14ac:dyDescent="0.25">
      <c r="AB326" s="2"/>
    </row>
    <row r="327" spans="28:38" ht="16.149999999999999" customHeight="1" x14ac:dyDescent="0.25">
      <c r="AB327" s="2"/>
    </row>
    <row r="328" spans="28:38" ht="16.149999999999999" customHeight="1" x14ac:dyDescent="0.25">
      <c r="AB328" s="2"/>
    </row>
    <row r="383" spans="56:57" ht="16.149999999999999" customHeight="1" x14ac:dyDescent="0.25">
      <c r="BD383" s="8"/>
      <c r="BE383" s="8"/>
    </row>
    <row r="384" spans="56:57" ht="16.149999999999999" customHeight="1" x14ac:dyDescent="0.25">
      <c r="BD384" s="8"/>
      <c r="BE384" s="8"/>
    </row>
    <row r="385" spans="56:57" ht="16.149999999999999" customHeight="1" x14ac:dyDescent="0.25">
      <c r="BD385" s="8"/>
      <c r="BE385" s="8"/>
    </row>
    <row r="386" spans="56:57" ht="16.149999999999999" customHeight="1" x14ac:dyDescent="0.25">
      <c r="BD386" s="8"/>
      <c r="BE386" s="8"/>
    </row>
    <row r="387" spans="56:57" ht="16.149999999999999" customHeight="1" x14ac:dyDescent="0.25">
      <c r="BD387" s="8"/>
      <c r="BE387" s="8"/>
    </row>
    <row r="388" spans="56:57" ht="16.149999999999999" customHeight="1" x14ac:dyDescent="0.25">
      <c r="BD388" s="8"/>
      <c r="BE388" s="8"/>
    </row>
    <row r="389" spans="56:57" ht="16.149999999999999" customHeight="1" x14ac:dyDescent="0.25">
      <c r="BD389" s="8"/>
      <c r="BE389" s="8"/>
    </row>
    <row r="390" spans="56:57" ht="16.149999999999999" customHeight="1" x14ac:dyDescent="0.25">
      <c r="BD390" s="8"/>
      <c r="BE390" s="8"/>
    </row>
    <row r="391" spans="56:57" ht="16.149999999999999" customHeight="1" x14ac:dyDescent="0.25">
      <c r="BD391" s="8"/>
      <c r="BE391" s="8"/>
    </row>
    <row r="392" spans="56:57" ht="16.149999999999999" customHeight="1" x14ac:dyDescent="0.25">
      <c r="BD392" s="8"/>
      <c r="BE392" s="8"/>
    </row>
  </sheetData>
  <mergeCells count="92">
    <mergeCell ref="AW137:AX137"/>
    <mergeCell ref="BC137:BD137"/>
    <mergeCell ref="AW122:AX122"/>
    <mergeCell ref="BC122:BD122"/>
    <mergeCell ref="AW125:AX125"/>
    <mergeCell ref="BC125:BD125"/>
    <mergeCell ref="AW120:AX120"/>
    <mergeCell ref="BC120:BD120"/>
    <mergeCell ref="AW121:AX121"/>
    <mergeCell ref="BC121:BD121"/>
    <mergeCell ref="AW117:AX117"/>
    <mergeCell ref="BC117:BD117"/>
    <mergeCell ref="AW119:AX119"/>
    <mergeCell ref="BC119:BD119"/>
    <mergeCell ref="AW115:AX115"/>
    <mergeCell ref="BC115:BD115"/>
    <mergeCell ref="AW116:AX116"/>
    <mergeCell ref="BC116:BD116"/>
    <mergeCell ref="AW113:AX113"/>
    <mergeCell ref="BC113:BD113"/>
    <mergeCell ref="AW114:AX114"/>
    <mergeCell ref="BC114:BD114"/>
    <mergeCell ref="AW109:AX109"/>
    <mergeCell ref="BC109:BD109"/>
    <mergeCell ref="AW112:AX112"/>
    <mergeCell ref="BC112:BD112"/>
    <mergeCell ref="AW99:AX99"/>
    <mergeCell ref="BC99:BD99"/>
    <mergeCell ref="AW105:AX105"/>
    <mergeCell ref="BC105:BD105"/>
    <mergeCell ref="AW95:AX95"/>
    <mergeCell ref="BC95:BD95"/>
    <mergeCell ref="AW96:AX96"/>
    <mergeCell ref="BC96:BD96"/>
    <mergeCell ref="AW91:AX91"/>
    <mergeCell ref="BC91:BD91"/>
    <mergeCell ref="AW92:AX92"/>
    <mergeCell ref="BC92:BD92"/>
    <mergeCell ref="AW89:AX89"/>
    <mergeCell ref="BC89:BD89"/>
    <mergeCell ref="AW90:AX90"/>
    <mergeCell ref="BC90:BD90"/>
    <mergeCell ref="AW87:AX87"/>
    <mergeCell ref="BC87:BD87"/>
    <mergeCell ref="AW88:AX88"/>
    <mergeCell ref="BC88:BD88"/>
    <mergeCell ref="AW81:AX81"/>
    <mergeCell ref="BC81:BD81"/>
    <mergeCell ref="AW86:AX86"/>
    <mergeCell ref="BC86:BD86"/>
    <mergeCell ref="AW64:AX64"/>
    <mergeCell ref="BC64:BD64"/>
    <mergeCell ref="AW77:AX77"/>
    <mergeCell ref="BC77:BD77"/>
    <mergeCell ref="AW43:AX43"/>
    <mergeCell ref="BC43:BD43"/>
    <mergeCell ref="AW57:AX57"/>
    <mergeCell ref="BC57:BD57"/>
    <mergeCell ref="AW28:AX28"/>
    <mergeCell ref="BC28:BD28"/>
    <mergeCell ref="AW42:AX42"/>
    <mergeCell ref="BC42:BD42"/>
    <mergeCell ref="AW19:AX19"/>
    <mergeCell ref="BC19:BD19"/>
    <mergeCell ref="AW20:AX20"/>
    <mergeCell ref="BC20:BD20"/>
    <mergeCell ref="AW13:AX13"/>
    <mergeCell ref="BC13:BD13"/>
    <mergeCell ref="AW18:AX18"/>
    <mergeCell ref="BC18:BD18"/>
    <mergeCell ref="AW6:AX6"/>
    <mergeCell ref="BC6:BD6"/>
    <mergeCell ref="AW7:AX7"/>
    <mergeCell ref="BC7:BD7"/>
    <mergeCell ref="AW8:AX8"/>
    <mergeCell ref="BC8:BD8"/>
    <mergeCell ref="A1:AN1"/>
    <mergeCell ref="AW11:AX11"/>
    <mergeCell ref="BC11:BD11"/>
    <mergeCell ref="AW12:AX12"/>
    <mergeCell ref="BC12:BD12"/>
    <mergeCell ref="A2:B3"/>
    <mergeCell ref="S2:U2"/>
    <mergeCell ref="W3:W4"/>
    <mergeCell ref="V3:V4"/>
    <mergeCell ref="K2:K4"/>
    <mergeCell ref="L2:L4"/>
    <mergeCell ref="M2:M4"/>
    <mergeCell ref="N2:P3"/>
    <mergeCell ref="Q2:Q4"/>
    <mergeCell ref="R2:R4"/>
    <mergeCell ref="C2:J3"/>
  </mergeCells>
  <conditionalFormatting sqref="D139:D157 D124:D134 D159:D162 D136:D137 D6:D9 D11:D13 D15:D83 D85:D122">
    <cfRule type="cellIs" dxfId="6" priority="17" operator="equal">
      <formula>"P"</formula>
    </cfRule>
  </conditionalFormatting>
  <conditionalFormatting sqref="D160 E159:E162 D158 E139:E157 E136:E137 E124:E134 E6:E9 E11:E13 E15:E83 E85:E122">
    <cfRule type="cellIs" dxfId="5" priority="16" operator="equal">
      <formula>"P"</formula>
    </cfRule>
  </conditionalFormatting>
  <conditionalFormatting sqref="I98">
    <cfRule type="cellIs" dxfId="4" priority="15" operator="equal">
      <formula>"POSTGRAD"</formula>
    </cfRule>
  </conditionalFormatting>
  <conditionalFormatting sqref="AN124:AN134 AN136:AN182 AN6:AN9 AN11:AN13 AN15:AN83 AN85:AN122">
    <cfRule type="cellIs" dxfId="3" priority="4" operator="equal">
      <formula>"n/a"</formula>
    </cfRule>
  </conditionalFormatting>
  <conditionalFormatting sqref="H11:H13 H6:H9 H18:H83 H86:H122 H136:H137 H125:H134">
    <cfRule type="cellIs" dxfId="2" priority="2" operator="greaterThan">
      <formula>69.999</formula>
    </cfRule>
  </conditionalFormatting>
  <hyperlinks>
    <hyperlink ref="J57" r:id="rId1" xr:uid="{00000000-0004-0000-0400-000000000000}"/>
    <hyperlink ref="J161" r:id="rId2" xr:uid="{00000000-0004-0000-0400-000001000000}"/>
    <hyperlink ref="AN3" r:id="rId3" xr:uid="{00000000-0004-0000-0400-000002000000}"/>
    <hyperlink ref="I105" r:id="rId4" xr:uid="{00000000-0004-0000-0400-000003000000}"/>
  </hyperlinks>
  <pageMargins left="0.7" right="0.7" top="0.75" bottom="0.75" header="0.3" footer="0.3"/>
  <pageSetup paperSize="9" orientation="portrait" verticalDpi="0" r:id="rId5"/>
  <ignoredErrors>
    <ignoredError sqref="H28 H64:H83" formula="1"/>
  </ignoredErrors>
  <legacy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P555"/>
  <sheetViews>
    <sheetView workbookViewId="0">
      <selection activeCell="K34" sqref="K34"/>
    </sheetView>
  </sheetViews>
  <sheetFormatPr defaultRowHeight="15" x14ac:dyDescent="0.25"/>
  <cols>
    <col min="1" max="1" width="8.85546875" style="231"/>
    <col min="7" max="7" width="39.7109375" style="2" customWidth="1"/>
    <col min="8" max="8" width="10.140625" hidden="1" customWidth="1"/>
    <col min="11" max="12" width="8.85546875" style="5"/>
    <col min="14" max="14" width="8.85546875" style="3"/>
  </cols>
  <sheetData>
    <row r="1" spans="1:14" x14ac:dyDescent="0.25">
      <c r="A1" s="229" t="s">
        <v>751</v>
      </c>
      <c r="H1" s="1" t="s">
        <v>742</v>
      </c>
      <c r="I1" s="1" t="s">
        <v>750</v>
      </c>
      <c r="J1" s="4"/>
    </row>
    <row r="2" spans="1:14" x14ac:dyDescent="0.25">
      <c r="A2" s="25" t="s">
        <v>587</v>
      </c>
      <c r="G2" s="2" t="s">
        <v>587</v>
      </c>
      <c r="H2" s="4">
        <v>1</v>
      </c>
      <c r="I2" s="4">
        <f>COUNT(I3:I193)</f>
        <v>170</v>
      </c>
      <c r="J2" s="4"/>
      <c r="L2" s="4"/>
      <c r="M2" s="1"/>
      <c r="N2" s="41"/>
    </row>
    <row r="3" spans="1:14" x14ac:dyDescent="0.25">
      <c r="A3" s="229" t="s">
        <v>457</v>
      </c>
      <c r="G3" s="42" t="s">
        <v>457</v>
      </c>
      <c r="H3" s="4">
        <f>H2+1</f>
        <v>2</v>
      </c>
      <c r="I3" s="5">
        <v>1</v>
      </c>
      <c r="J3" s="5"/>
    </row>
    <row r="4" spans="1:14" x14ac:dyDescent="0.25">
      <c r="A4" s="229" t="s">
        <v>598</v>
      </c>
      <c r="G4" s="42" t="s">
        <v>74</v>
      </c>
      <c r="H4" s="4">
        <f t="shared" ref="H4:H67" si="0">H3+1</f>
        <v>3</v>
      </c>
      <c r="I4" s="5">
        <v>2</v>
      </c>
      <c r="J4" s="5"/>
    </row>
    <row r="5" spans="1:14" x14ac:dyDescent="0.25">
      <c r="A5" s="229" t="s">
        <v>581</v>
      </c>
      <c r="G5" s="42" t="s">
        <v>60</v>
      </c>
      <c r="H5" s="4">
        <f t="shared" si="0"/>
        <v>4</v>
      </c>
      <c r="I5" s="5">
        <v>3</v>
      </c>
      <c r="J5" s="5"/>
    </row>
    <row r="6" spans="1:14" x14ac:dyDescent="0.25">
      <c r="A6" s="229" t="s">
        <v>369</v>
      </c>
      <c r="G6" s="42" t="s">
        <v>369</v>
      </c>
      <c r="H6" s="4">
        <f t="shared" si="0"/>
        <v>5</v>
      </c>
      <c r="I6" s="5">
        <v>4</v>
      </c>
      <c r="J6" s="5"/>
    </row>
    <row r="7" spans="1:14" x14ac:dyDescent="0.25">
      <c r="A7" s="229" t="s">
        <v>201</v>
      </c>
      <c r="G7" s="42" t="s">
        <v>201</v>
      </c>
      <c r="H7" s="4">
        <f t="shared" si="0"/>
        <v>6</v>
      </c>
      <c r="I7" s="5">
        <v>5</v>
      </c>
      <c r="J7" s="5"/>
      <c r="N7" s="228"/>
    </row>
    <row r="8" spans="1:14" x14ac:dyDescent="0.25">
      <c r="A8" s="229" t="s">
        <v>517</v>
      </c>
      <c r="G8" s="42" t="s">
        <v>733</v>
      </c>
      <c r="H8" s="4">
        <f t="shared" si="0"/>
        <v>7</v>
      </c>
      <c r="I8" s="5">
        <v>6</v>
      </c>
      <c r="J8" s="5"/>
    </row>
    <row r="9" spans="1:14" x14ac:dyDescent="0.25">
      <c r="A9" s="229" t="s">
        <v>580</v>
      </c>
      <c r="G9" s="42" t="s">
        <v>76</v>
      </c>
      <c r="H9" s="4">
        <f t="shared" si="0"/>
        <v>8</v>
      </c>
      <c r="I9" s="5">
        <v>7</v>
      </c>
      <c r="J9" s="5"/>
      <c r="N9" s="228"/>
    </row>
    <row r="10" spans="1:14" x14ac:dyDescent="0.25">
      <c r="A10" s="229" t="s">
        <v>518</v>
      </c>
      <c r="G10" s="42" t="s">
        <v>518</v>
      </c>
      <c r="H10" s="4">
        <f t="shared" si="0"/>
        <v>9</v>
      </c>
      <c r="I10" s="5">
        <v>8</v>
      </c>
      <c r="J10" s="5"/>
    </row>
    <row r="11" spans="1:14" x14ac:dyDescent="0.25">
      <c r="A11" s="229" t="s">
        <v>240</v>
      </c>
      <c r="G11" s="42" t="s">
        <v>240</v>
      </c>
      <c r="H11" s="4">
        <f t="shared" si="0"/>
        <v>10</v>
      </c>
      <c r="I11" s="5">
        <v>9</v>
      </c>
      <c r="J11" s="5"/>
    </row>
    <row r="12" spans="1:14" x14ac:dyDescent="0.25">
      <c r="A12" s="25" t="s">
        <v>579</v>
      </c>
      <c r="G12" s="42" t="s">
        <v>579</v>
      </c>
      <c r="H12" s="4">
        <f t="shared" si="0"/>
        <v>11</v>
      </c>
      <c r="I12" s="5"/>
      <c r="J12" s="5"/>
    </row>
    <row r="13" spans="1:14" x14ac:dyDescent="0.25">
      <c r="A13" s="229" t="s">
        <v>578</v>
      </c>
      <c r="G13" s="42" t="s">
        <v>154</v>
      </c>
      <c r="H13" s="4">
        <f t="shared" si="0"/>
        <v>12</v>
      </c>
      <c r="I13" s="5">
        <v>10</v>
      </c>
      <c r="J13" s="5"/>
    </row>
    <row r="14" spans="1:14" x14ac:dyDescent="0.25">
      <c r="A14" s="229" t="s">
        <v>198</v>
      </c>
      <c r="G14" s="42" t="s">
        <v>198</v>
      </c>
      <c r="H14" s="4">
        <f t="shared" si="0"/>
        <v>13</v>
      </c>
      <c r="I14" s="5">
        <v>11</v>
      </c>
      <c r="J14" s="5"/>
    </row>
    <row r="15" spans="1:14" x14ac:dyDescent="0.25">
      <c r="A15" s="229" t="s">
        <v>329</v>
      </c>
      <c r="G15" s="42" t="s">
        <v>329</v>
      </c>
      <c r="H15" s="4">
        <f t="shared" si="0"/>
        <v>14</v>
      </c>
      <c r="I15" s="5">
        <v>12</v>
      </c>
      <c r="J15" s="5"/>
    </row>
    <row r="16" spans="1:14" x14ac:dyDescent="0.25">
      <c r="A16" s="229" t="s">
        <v>415</v>
      </c>
      <c r="G16" s="42" t="s">
        <v>415</v>
      </c>
      <c r="H16" s="4">
        <f t="shared" si="0"/>
        <v>15</v>
      </c>
      <c r="I16" s="5">
        <v>13</v>
      </c>
      <c r="J16" s="5"/>
    </row>
    <row r="17" spans="1:15" x14ac:dyDescent="0.25">
      <c r="A17" s="229" t="s">
        <v>157</v>
      </c>
      <c r="G17" s="42" t="s">
        <v>157</v>
      </c>
      <c r="H17" s="4">
        <f t="shared" si="0"/>
        <v>16</v>
      </c>
      <c r="I17" s="5">
        <v>14</v>
      </c>
      <c r="J17" s="5"/>
    </row>
    <row r="18" spans="1:15" x14ac:dyDescent="0.25">
      <c r="A18" s="229" t="s">
        <v>243</v>
      </c>
      <c r="G18" s="42" t="s">
        <v>243</v>
      </c>
      <c r="H18" s="4">
        <f t="shared" si="0"/>
        <v>17</v>
      </c>
      <c r="I18" s="5">
        <v>15</v>
      </c>
      <c r="J18" s="5"/>
    </row>
    <row r="19" spans="1:15" x14ac:dyDescent="0.25">
      <c r="A19" s="229" t="s">
        <v>102</v>
      </c>
      <c r="G19" s="42" t="s">
        <v>102</v>
      </c>
      <c r="H19" s="4">
        <f t="shared" si="0"/>
        <v>18</v>
      </c>
      <c r="I19" s="5">
        <v>16</v>
      </c>
      <c r="J19" s="5"/>
    </row>
    <row r="20" spans="1:15" x14ac:dyDescent="0.25">
      <c r="A20" s="229" t="s">
        <v>267</v>
      </c>
      <c r="G20" s="42" t="s">
        <v>267</v>
      </c>
      <c r="H20" s="4">
        <f t="shared" si="0"/>
        <v>19</v>
      </c>
      <c r="I20" s="5">
        <v>17</v>
      </c>
      <c r="J20" s="5"/>
    </row>
    <row r="21" spans="1:15" x14ac:dyDescent="0.25">
      <c r="A21" s="229" t="s">
        <v>577</v>
      </c>
      <c r="G21" s="42" t="s">
        <v>80</v>
      </c>
      <c r="H21" s="4">
        <f t="shared" si="0"/>
        <v>20</v>
      </c>
      <c r="I21" s="5">
        <v>18</v>
      </c>
      <c r="J21" s="5"/>
    </row>
    <row r="22" spans="1:15" x14ac:dyDescent="0.25">
      <c r="A22" s="229" t="s">
        <v>418</v>
      </c>
      <c r="G22" s="42" t="s">
        <v>418</v>
      </c>
      <c r="H22" s="4">
        <f t="shared" si="0"/>
        <v>21</v>
      </c>
      <c r="I22" s="5">
        <v>19</v>
      </c>
      <c r="J22" s="5"/>
    </row>
    <row r="23" spans="1:15" x14ac:dyDescent="0.25">
      <c r="A23" s="229" t="s">
        <v>236</v>
      </c>
      <c r="G23" s="42" t="s">
        <v>236</v>
      </c>
      <c r="H23" s="4">
        <f t="shared" si="0"/>
        <v>22</v>
      </c>
      <c r="I23" s="5">
        <v>20</v>
      </c>
      <c r="J23" s="5"/>
    </row>
    <row r="24" spans="1:15" x14ac:dyDescent="0.25">
      <c r="A24" s="229" t="s">
        <v>205</v>
      </c>
      <c r="G24" s="42" t="s">
        <v>205</v>
      </c>
      <c r="H24" s="4">
        <f t="shared" si="0"/>
        <v>23</v>
      </c>
      <c r="I24" s="5">
        <v>21</v>
      </c>
      <c r="J24" s="5"/>
    </row>
    <row r="25" spans="1:15" x14ac:dyDescent="0.25">
      <c r="A25" s="229" t="s">
        <v>106</v>
      </c>
      <c r="G25" s="42" t="s">
        <v>106</v>
      </c>
      <c r="H25" s="4">
        <f t="shared" si="0"/>
        <v>24</v>
      </c>
      <c r="I25" s="5">
        <v>22</v>
      </c>
      <c r="J25" s="5"/>
      <c r="N25" s="228"/>
      <c r="O25" s="58"/>
    </row>
    <row r="26" spans="1:15" x14ac:dyDescent="0.25">
      <c r="A26" s="229" t="s">
        <v>360</v>
      </c>
      <c r="G26" s="42" t="s">
        <v>360</v>
      </c>
      <c r="H26" s="4">
        <f t="shared" si="0"/>
        <v>25</v>
      </c>
      <c r="I26" s="5">
        <v>23</v>
      </c>
      <c r="J26" s="5"/>
    </row>
    <row r="27" spans="1:15" x14ac:dyDescent="0.25">
      <c r="A27" s="229" t="s">
        <v>246</v>
      </c>
      <c r="G27" s="42" t="s">
        <v>246</v>
      </c>
      <c r="H27" s="4">
        <f t="shared" si="0"/>
        <v>26</v>
      </c>
      <c r="I27" s="5">
        <v>24</v>
      </c>
      <c r="J27" s="5"/>
    </row>
    <row r="28" spans="1:15" x14ac:dyDescent="0.25">
      <c r="A28" s="229" t="s">
        <v>494</v>
      </c>
      <c r="G28" s="42" t="s">
        <v>494</v>
      </c>
      <c r="H28" s="4">
        <f t="shared" si="0"/>
        <v>27</v>
      </c>
      <c r="I28" s="5">
        <v>25</v>
      </c>
      <c r="J28" s="5"/>
    </row>
    <row r="29" spans="1:15" x14ac:dyDescent="0.25">
      <c r="A29" s="229" t="s">
        <v>576</v>
      </c>
      <c r="G29" s="42" t="s">
        <v>160</v>
      </c>
      <c r="H29" s="4">
        <f t="shared" si="0"/>
        <v>28</v>
      </c>
      <c r="I29" s="5">
        <v>26</v>
      </c>
      <c r="J29" s="5"/>
    </row>
    <row r="30" spans="1:15" x14ac:dyDescent="0.25">
      <c r="A30" s="229" t="s">
        <v>83</v>
      </c>
      <c r="G30" s="42" t="s">
        <v>83</v>
      </c>
      <c r="H30" s="4">
        <f t="shared" si="0"/>
        <v>29</v>
      </c>
      <c r="I30" s="5">
        <v>27</v>
      </c>
      <c r="J30" s="5"/>
      <c r="N30" s="228"/>
    </row>
    <row r="31" spans="1:15" x14ac:dyDescent="0.25">
      <c r="A31" s="229" t="s">
        <v>162</v>
      </c>
      <c r="G31" s="42" t="s">
        <v>162</v>
      </c>
      <c r="H31" s="4">
        <f t="shared" si="0"/>
        <v>30</v>
      </c>
      <c r="I31" s="5">
        <v>28</v>
      </c>
      <c r="J31" s="5"/>
    </row>
    <row r="32" spans="1:15" x14ac:dyDescent="0.25">
      <c r="A32" s="25" t="s">
        <v>575</v>
      </c>
      <c r="G32" s="42" t="s">
        <v>575</v>
      </c>
      <c r="H32" s="4">
        <f t="shared" si="0"/>
        <v>31</v>
      </c>
      <c r="I32" s="5"/>
      <c r="J32" s="5"/>
    </row>
    <row r="33" spans="1:14" x14ac:dyDescent="0.25">
      <c r="A33" s="229" t="s">
        <v>500</v>
      </c>
      <c r="G33" s="42" t="s">
        <v>500</v>
      </c>
      <c r="H33" s="4">
        <f t="shared" si="0"/>
        <v>32</v>
      </c>
      <c r="I33" s="7">
        <v>29</v>
      </c>
      <c r="J33" s="5"/>
      <c r="L33" s="7"/>
    </row>
    <row r="34" spans="1:14" x14ac:dyDescent="0.25">
      <c r="A34" s="229" t="s">
        <v>307</v>
      </c>
      <c r="G34" s="42" t="s">
        <v>307</v>
      </c>
      <c r="H34" s="4">
        <f t="shared" si="0"/>
        <v>33</v>
      </c>
      <c r="I34" s="5">
        <v>30</v>
      </c>
      <c r="J34" s="5"/>
    </row>
    <row r="35" spans="1:14" x14ac:dyDescent="0.25">
      <c r="A35" s="229" t="s">
        <v>574</v>
      </c>
      <c r="G35" s="42" t="s">
        <v>332</v>
      </c>
      <c r="H35" s="4">
        <f t="shared" si="0"/>
        <v>34</v>
      </c>
      <c r="I35" s="5">
        <v>31</v>
      </c>
      <c r="J35" s="5"/>
    </row>
    <row r="36" spans="1:14" x14ac:dyDescent="0.25">
      <c r="A36" s="229" t="s">
        <v>573</v>
      </c>
      <c r="G36" s="42" t="s">
        <v>207</v>
      </c>
      <c r="H36" s="4">
        <f t="shared" si="0"/>
        <v>35</v>
      </c>
      <c r="I36" s="5">
        <v>32</v>
      </c>
      <c r="J36" s="5"/>
    </row>
    <row r="37" spans="1:14" x14ac:dyDescent="0.25">
      <c r="A37" s="229" t="s">
        <v>320</v>
      </c>
      <c r="G37" s="42" t="s">
        <v>320</v>
      </c>
      <c r="H37" s="4">
        <f t="shared" si="0"/>
        <v>36</v>
      </c>
      <c r="I37" s="5">
        <v>33</v>
      </c>
      <c r="J37" s="5"/>
    </row>
    <row r="38" spans="1:14" x14ac:dyDescent="0.25">
      <c r="A38" s="229" t="s">
        <v>110</v>
      </c>
      <c r="G38" s="42" t="s">
        <v>110</v>
      </c>
      <c r="H38" s="4">
        <f t="shared" si="0"/>
        <v>37</v>
      </c>
      <c r="I38" s="5">
        <v>34</v>
      </c>
      <c r="J38" s="5"/>
    </row>
    <row r="39" spans="1:14" x14ac:dyDescent="0.25">
      <c r="A39" s="229" t="s">
        <v>572</v>
      </c>
      <c r="G39" s="42" t="s">
        <v>488</v>
      </c>
      <c r="H39" s="4">
        <f t="shared" si="0"/>
        <v>38</v>
      </c>
      <c r="I39" s="5">
        <v>35</v>
      </c>
      <c r="J39" s="5"/>
    </row>
    <row r="40" spans="1:14" x14ac:dyDescent="0.25">
      <c r="A40" s="229" t="s">
        <v>586</v>
      </c>
      <c r="G40" s="42" t="s">
        <v>248</v>
      </c>
      <c r="H40" s="4">
        <f t="shared" si="0"/>
        <v>39</v>
      </c>
      <c r="I40" s="5">
        <v>36</v>
      </c>
      <c r="J40" s="5"/>
      <c r="N40" s="228"/>
    </row>
    <row r="41" spans="1:14" x14ac:dyDescent="0.25">
      <c r="A41" s="229" t="s">
        <v>448</v>
      </c>
      <c r="G41" s="42" t="s">
        <v>448</v>
      </c>
      <c r="H41" s="4">
        <f t="shared" si="0"/>
        <v>40</v>
      </c>
      <c r="I41" s="5">
        <v>37</v>
      </c>
      <c r="J41" s="5"/>
    </row>
    <row r="42" spans="1:14" x14ac:dyDescent="0.25">
      <c r="A42" s="229" t="s">
        <v>516</v>
      </c>
      <c r="G42" s="42" t="s">
        <v>516</v>
      </c>
      <c r="H42" s="4">
        <f t="shared" si="0"/>
        <v>41</v>
      </c>
      <c r="I42" s="5">
        <v>38</v>
      </c>
      <c r="J42" s="5"/>
    </row>
    <row r="43" spans="1:14" x14ac:dyDescent="0.25">
      <c r="A43" s="229" t="s">
        <v>264</v>
      </c>
      <c r="G43" s="42" t="s">
        <v>264</v>
      </c>
      <c r="H43" s="4">
        <f t="shared" si="0"/>
        <v>42</v>
      </c>
      <c r="I43" s="5">
        <v>39</v>
      </c>
      <c r="J43" s="5"/>
    </row>
    <row r="44" spans="1:14" x14ac:dyDescent="0.25">
      <c r="A44" s="229" t="s">
        <v>335</v>
      </c>
      <c r="G44" s="42" t="s">
        <v>335</v>
      </c>
      <c r="H44" s="4">
        <f t="shared" si="0"/>
        <v>43</v>
      </c>
      <c r="I44" s="5">
        <v>40</v>
      </c>
      <c r="J44" s="5"/>
    </row>
    <row r="45" spans="1:14" x14ac:dyDescent="0.25">
      <c r="A45" s="25" t="s">
        <v>571</v>
      </c>
      <c r="G45" s="42" t="s">
        <v>571</v>
      </c>
      <c r="H45" s="4">
        <f t="shared" si="0"/>
        <v>44</v>
      </c>
      <c r="I45" s="5"/>
      <c r="J45" s="5"/>
    </row>
    <row r="46" spans="1:14" x14ac:dyDescent="0.25">
      <c r="A46" s="229" t="s">
        <v>296</v>
      </c>
      <c r="G46" s="42" t="s">
        <v>296</v>
      </c>
      <c r="H46" s="4">
        <f t="shared" si="0"/>
        <v>45</v>
      </c>
      <c r="I46" s="7">
        <v>41</v>
      </c>
      <c r="J46" s="5"/>
      <c r="L46" s="7"/>
    </row>
    <row r="47" spans="1:14" x14ac:dyDescent="0.25">
      <c r="A47" s="229" t="s">
        <v>271</v>
      </c>
      <c r="G47" s="42" t="s">
        <v>271</v>
      </c>
      <c r="H47" s="4">
        <f t="shared" si="0"/>
        <v>46</v>
      </c>
      <c r="I47" s="5">
        <v>42</v>
      </c>
      <c r="J47" s="5"/>
    </row>
    <row r="48" spans="1:14" x14ac:dyDescent="0.25">
      <c r="A48" s="229" t="s">
        <v>113</v>
      </c>
      <c r="G48" s="42" t="s">
        <v>113</v>
      </c>
      <c r="H48" s="4">
        <f t="shared" si="0"/>
        <v>47</v>
      </c>
      <c r="I48" s="5">
        <v>43</v>
      </c>
      <c r="J48" s="5"/>
    </row>
    <row r="49" spans="1:12" x14ac:dyDescent="0.25">
      <c r="A49" s="229" t="s">
        <v>116</v>
      </c>
      <c r="G49" s="42" t="s">
        <v>116</v>
      </c>
      <c r="H49" s="4">
        <f t="shared" si="0"/>
        <v>48</v>
      </c>
      <c r="I49" s="5">
        <v>44</v>
      </c>
      <c r="J49" s="5"/>
    </row>
    <row r="50" spans="1:12" x14ac:dyDescent="0.25">
      <c r="A50" s="25" t="s">
        <v>570</v>
      </c>
      <c r="G50" s="42" t="s">
        <v>570</v>
      </c>
      <c r="H50" s="4">
        <f t="shared" si="0"/>
        <v>49</v>
      </c>
      <c r="I50" s="5"/>
      <c r="J50" s="5"/>
    </row>
    <row r="51" spans="1:12" x14ac:dyDescent="0.25">
      <c r="A51" s="229" t="s">
        <v>119</v>
      </c>
      <c r="G51" s="42" t="s">
        <v>119</v>
      </c>
      <c r="H51" s="4">
        <f t="shared" si="0"/>
        <v>50</v>
      </c>
      <c r="I51" s="7">
        <v>45</v>
      </c>
      <c r="J51" s="5"/>
      <c r="L51" s="7"/>
    </row>
    <row r="52" spans="1:12" x14ac:dyDescent="0.25">
      <c r="A52" s="229" t="s">
        <v>393</v>
      </c>
      <c r="G52" s="42" t="s">
        <v>393</v>
      </c>
      <c r="H52" s="4">
        <f t="shared" si="0"/>
        <v>51</v>
      </c>
      <c r="I52" s="5">
        <v>46</v>
      </c>
      <c r="J52" s="5"/>
    </row>
    <row r="53" spans="1:12" x14ac:dyDescent="0.25">
      <c r="A53" s="229" t="s">
        <v>310</v>
      </c>
      <c r="G53" s="42" t="s">
        <v>310</v>
      </c>
      <c r="H53" s="4">
        <f t="shared" si="0"/>
        <v>52</v>
      </c>
      <c r="I53" s="5">
        <v>47</v>
      </c>
      <c r="J53" s="5"/>
    </row>
    <row r="54" spans="1:12" x14ac:dyDescent="0.25">
      <c r="A54" s="229" t="s">
        <v>569</v>
      </c>
      <c r="G54" s="42" t="s">
        <v>87</v>
      </c>
      <c r="H54" s="4">
        <f t="shared" si="0"/>
        <v>53</v>
      </c>
      <c r="I54" s="5">
        <v>48</v>
      </c>
      <c r="J54" s="5"/>
    </row>
    <row r="55" spans="1:12" x14ac:dyDescent="0.25">
      <c r="A55" s="229" t="s">
        <v>372</v>
      </c>
      <c r="G55" s="42" t="s">
        <v>372</v>
      </c>
      <c r="H55" s="4">
        <f t="shared" si="0"/>
        <v>54</v>
      </c>
      <c r="I55" s="5">
        <v>49</v>
      </c>
      <c r="J55" s="5"/>
    </row>
    <row r="56" spans="1:12" x14ac:dyDescent="0.25">
      <c r="A56" s="229" t="s">
        <v>122</v>
      </c>
      <c r="G56" s="42" t="s">
        <v>122</v>
      </c>
      <c r="H56" s="4">
        <f t="shared" si="0"/>
        <v>55</v>
      </c>
      <c r="I56" s="5">
        <v>50</v>
      </c>
      <c r="J56" s="5"/>
    </row>
    <row r="57" spans="1:12" x14ac:dyDescent="0.25">
      <c r="A57" s="229" t="s">
        <v>165</v>
      </c>
      <c r="G57" s="42" t="s">
        <v>165</v>
      </c>
      <c r="H57" s="4">
        <f t="shared" si="0"/>
        <v>56</v>
      </c>
      <c r="I57" s="5">
        <v>51</v>
      </c>
      <c r="J57" s="5"/>
    </row>
    <row r="58" spans="1:12" x14ac:dyDescent="0.25">
      <c r="A58" s="25" t="s">
        <v>568</v>
      </c>
      <c r="G58" s="42" t="s">
        <v>568</v>
      </c>
      <c r="H58" s="4">
        <f t="shared" si="0"/>
        <v>57</v>
      </c>
      <c r="I58" s="5"/>
      <c r="J58" s="5"/>
    </row>
    <row r="59" spans="1:12" x14ac:dyDescent="0.25">
      <c r="A59" s="229" t="s">
        <v>168</v>
      </c>
      <c r="G59" s="42" t="s">
        <v>168</v>
      </c>
      <c r="H59" s="4">
        <f t="shared" si="0"/>
        <v>58</v>
      </c>
      <c r="I59" s="7">
        <v>52</v>
      </c>
      <c r="J59" s="5"/>
      <c r="L59" s="7"/>
    </row>
    <row r="60" spans="1:12" x14ac:dyDescent="0.25">
      <c r="A60" s="25" t="s">
        <v>567</v>
      </c>
      <c r="G60" s="42" t="s">
        <v>567</v>
      </c>
      <c r="H60" s="4">
        <f t="shared" si="0"/>
        <v>59</v>
      </c>
      <c r="I60" s="5"/>
      <c r="J60" s="5"/>
    </row>
    <row r="61" spans="1:12" x14ac:dyDescent="0.25">
      <c r="A61" s="229" t="s">
        <v>461</v>
      </c>
      <c r="G61" s="42" t="s">
        <v>461</v>
      </c>
      <c r="H61" s="4">
        <f t="shared" si="0"/>
        <v>60</v>
      </c>
      <c r="I61" s="7">
        <v>53</v>
      </c>
      <c r="J61" s="5"/>
      <c r="L61" s="7"/>
    </row>
    <row r="62" spans="1:12" x14ac:dyDescent="0.25">
      <c r="A62" s="229" t="s">
        <v>376</v>
      </c>
      <c r="G62" s="42" t="s">
        <v>376</v>
      </c>
      <c r="H62" s="4">
        <f t="shared" si="0"/>
        <v>61</v>
      </c>
      <c r="I62" s="5">
        <v>54</v>
      </c>
      <c r="J62" s="5"/>
    </row>
    <row r="63" spans="1:12" x14ac:dyDescent="0.25">
      <c r="A63" s="229" t="s">
        <v>421</v>
      </c>
      <c r="G63" s="42" t="s">
        <v>421</v>
      </c>
      <c r="H63" s="4">
        <f t="shared" si="0"/>
        <v>62</v>
      </c>
      <c r="I63" s="5">
        <v>55</v>
      </c>
      <c r="J63" s="5"/>
    </row>
    <row r="64" spans="1:12" x14ac:dyDescent="0.25">
      <c r="A64" s="229" t="s">
        <v>566</v>
      </c>
      <c r="G64" s="42" t="s">
        <v>441</v>
      </c>
      <c r="H64" s="4">
        <f t="shared" si="0"/>
        <v>63</v>
      </c>
      <c r="I64" s="5">
        <v>56</v>
      </c>
      <c r="J64" s="5"/>
    </row>
    <row r="65" spans="1:16" x14ac:dyDescent="0.25">
      <c r="A65" s="229" t="s">
        <v>56</v>
      </c>
      <c r="G65" s="42" t="s">
        <v>56</v>
      </c>
      <c r="H65" s="4">
        <f t="shared" si="0"/>
        <v>64</v>
      </c>
      <c r="I65" s="5">
        <v>57</v>
      </c>
      <c r="J65" s="5"/>
    </row>
    <row r="66" spans="1:16" x14ac:dyDescent="0.25">
      <c r="A66" s="229" t="s">
        <v>300</v>
      </c>
      <c r="G66" s="42" t="s">
        <v>300</v>
      </c>
      <c r="H66" s="4">
        <f t="shared" si="0"/>
        <v>65</v>
      </c>
      <c r="I66" s="5">
        <v>58</v>
      </c>
      <c r="J66" s="5"/>
    </row>
    <row r="67" spans="1:16" x14ac:dyDescent="0.25">
      <c r="A67" s="229" t="s">
        <v>492</v>
      </c>
      <c r="G67" s="42" t="s">
        <v>492</v>
      </c>
      <c r="H67" s="4">
        <f t="shared" si="0"/>
        <v>66</v>
      </c>
      <c r="I67" s="5">
        <v>59</v>
      </c>
      <c r="J67" s="5"/>
      <c r="N67" s="228"/>
      <c r="O67" s="58"/>
      <c r="P67" s="59"/>
    </row>
    <row r="68" spans="1:16" x14ac:dyDescent="0.25">
      <c r="A68" s="25" t="s">
        <v>565</v>
      </c>
      <c r="G68" s="42" t="s">
        <v>565</v>
      </c>
      <c r="H68" s="4">
        <f t="shared" ref="H68:H131" si="1">H67+1</f>
        <v>67</v>
      </c>
      <c r="I68" s="5"/>
      <c r="J68" s="5"/>
    </row>
    <row r="69" spans="1:16" x14ac:dyDescent="0.25">
      <c r="A69" s="229" t="s">
        <v>210</v>
      </c>
      <c r="G69" s="42" t="s">
        <v>210</v>
      </c>
      <c r="H69" s="4">
        <f t="shared" si="1"/>
        <v>68</v>
      </c>
      <c r="I69" s="7">
        <v>60</v>
      </c>
      <c r="J69" s="5"/>
      <c r="L69" s="7"/>
    </row>
    <row r="70" spans="1:16" x14ac:dyDescent="0.25">
      <c r="A70" s="229" t="s">
        <v>342</v>
      </c>
      <c r="G70" s="42" t="s">
        <v>342</v>
      </c>
      <c r="H70" s="4">
        <f t="shared" si="1"/>
        <v>69</v>
      </c>
      <c r="I70" s="5">
        <v>61</v>
      </c>
      <c r="J70" s="5"/>
    </row>
    <row r="71" spans="1:16" x14ac:dyDescent="0.25">
      <c r="A71" s="229" t="s">
        <v>464</v>
      </c>
      <c r="G71" s="42" t="s">
        <v>464</v>
      </c>
      <c r="H71" s="4">
        <f t="shared" si="1"/>
        <v>70</v>
      </c>
      <c r="I71" s="5">
        <v>62</v>
      </c>
      <c r="J71" s="5"/>
    </row>
    <row r="72" spans="1:16" x14ac:dyDescent="0.25">
      <c r="A72" s="229" t="s">
        <v>385</v>
      </c>
      <c r="G72" s="42" t="s">
        <v>385</v>
      </c>
      <c r="H72" s="4">
        <f t="shared" si="1"/>
        <v>71</v>
      </c>
      <c r="I72" s="5">
        <v>63</v>
      </c>
      <c r="J72" s="5"/>
    </row>
    <row r="73" spans="1:16" x14ac:dyDescent="0.25">
      <c r="A73" s="229" t="s">
        <v>564</v>
      </c>
      <c r="G73" s="42" t="s">
        <v>597</v>
      </c>
      <c r="H73" s="4">
        <f t="shared" si="1"/>
        <v>72</v>
      </c>
      <c r="I73" s="5">
        <v>64</v>
      </c>
      <c r="J73" s="5"/>
    </row>
    <row r="74" spans="1:16" x14ac:dyDescent="0.25">
      <c r="A74" s="229" t="s">
        <v>563</v>
      </c>
      <c r="G74" s="42" t="s">
        <v>423</v>
      </c>
      <c r="H74" s="4">
        <f t="shared" si="1"/>
        <v>73</v>
      </c>
      <c r="I74" s="5">
        <v>65</v>
      </c>
      <c r="J74" s="5"/>
    </row>
    <row r="75" spans="1:16" x14ac:dyDescent="0.25">
      <c r="A75" s="229" t="s">
        <v>322</v>
      </c>
      <c r="G75" s="42" t="s">
        <v>322</v>
      </c>
      <c r="H75" s="4">
        <f t="shared" si="1"/>
        <v>74</v>
      </c>
      <c r="I75" s="5">
        <v>66</v>
      </c>
      <c r="J75" s="5"/>
    </row>
    <row r="76" spans="1:16" x14ac:dyDescent="0.25">
      <c r="A76" s="229" t="s">
        <v>213</v>
      </c>
      <c r="G76" s="42" t="s">
        <v>213</v>
      </c>
      <c r="H76" s="4">
        <f t="shared" si="1"/>
        <v>75</v>
      </c>
      <c r="I76" s="5">
        <v>67</v>
      </c>
      <c r="J76" s="5"/>
    </row>
    <row r="77" spans="1:16" x14ac:dyDescent="0.25">
      <c r="A77" s="25" t="s">
        <v>562</v>
      </c>
      <c r="G77" s="42" t="s">
        <v>562</v>
      </c>
      <c r="H77" s="4">
        <f t="shared" si="1"/>
        <v>76</v>
      </c>
      <c r="I77" s="5"/>
      <c r="J77" s="5"/>
    </row>
    <row r="78" spans="1:16" x14ac:dyDescent="0.25">
      <c r="A78" s="229" t="s">
        <v>561</v>
      </c>
      <c r="G78" s="42" t="s">
        <v>470</v>
      </c>
      <c r="H78" s="4">
        <f t="shared" si="1"/>
        <v>77</v>
      </c>
      <c r="I78" s="7">
        <v>68</v>
      </c>
      <c r="J78" s="5"/>
      <c r="L78" s="7"/>
    </row>
    <row r="79" spans="1:16" x14ac:dyDescent="0.25">
      <c r="A79" s="229" t="s">
        <v>585</v>
      </c>
      <c r="G79" s="42" t="s">
        <v>512</v>
      </c>
      <c r="H79" s="4">
        <f t="shared" si="1"/>
        <v>78</v>
      </c>
      <c r="I79" s="5">
        <v>69</v>
      </c>
      <c r="J79" s="5"/>
    </row>
    <row r="80" spans="1:16" x14ac:dyDescent="0.25">
      <c r="A80" s="229" t="s">
        <v>507</v>
      </c>
      <c r="G80" s="42" t="s">
        <v>507</v>
      </c>
      <c r="H80" s="4">
        <f t="shared" si="1"/>
        <v>79</v>
      </c>
      <c r="I80" s="5">
        <v>70</v>
      </c>
      <c r="J80" s="5"/>
      <c r="N80" s="228"/>
    </row>
    <row r="81" spans="1:12" x14ac:dyDescent="0.25">
      <c r="A81" s="25" t="s">
        <v>560</v>
      </c>
      <c r="G81" s="42" t="s">
        <v>560</v>
      </c>
      <c r="H81" s="4">
        <f t="shared" si="1"/>
        <v>80</v>
      </c>
      <c r="I81" s="5"/>
      <c r="J81" s="5"/>
    </row>
    <row r="82" spans="1:12" x14ac:dyDescent="0.25">
      <c r="A82" s="229" t="s">
        <v>171</v>
      </c>
      <c r="G82" s="42" t="s">
        <v>171</v>
      </c>
      <c r="H82" s="4">
        <f t="shared" si="1"/>
        <v>81</v>
      </c>
      <c r="I82" s="7">
        <v>71</v>
      </c>
      <c r="J82" s="5"/>
      <c r="L82" s="7"/>
    </row>
    <row r="83" spans="1:12" x14ac:dyDescent="0.25">
      <c r="A83" s="229" t="s">
        <v>559</v>
      </c>
      <c r="G83" s="42" t="s">
        <v>28</v>
      </c>
      <c r="H83" s="4">
        <f t="shared" si="1"/>
        <v>82</v>
      </c>
      <c r="I83" s="5">
        <v>72</v>
      </c>
      <c r="J83" s="5"/>
    </row>
    <row r="84" spans="1:12" x14ac:dyDescent="0.25">
      <c r="A84" s="229" t="s">
        <v>303</v>
      </c>
      <c r="G84" s="42" t="s">
        <v>303</v>
      </c>
      <c r="H84" s="4">
        <f t="shared" si="1"/>
        <v>83</v>
      </c>
      <c r="I84" s="5">
        <v>73</v>
      </c>
      <c r="J84" s="5"/>
    </row>
    <row r="85" spans="1:12" x14ac:dyDescent="0.25">
      <c r="A85" s="229" t="s">
        <v>126</v>
      </c>
      <c r="G85" s="42" t="s">
        <v>126</v>
      </c>
      <c r="H85" s="4">
        <f t="shared" si="1"/>
        <v>84</v>
      </c>
      <c r="I85" s="5">
        <v>74</v>
      </c>
      <c r="J85" s="5"/>
    </row>
    <row r="86" spans="1:12" x14ac:dyDescent="0.25">
      <c r="A86" s="25" t="s">
        <v>558</v>
      </c>
      <c r="G86" s="42" t="s">
        <v>558</v>
      </c>
      <c r="H86" s="4">
        <f t="shared" si="1"/>
        <v>85</v>
      </c>
      <c r="I86" s="5"/>
      <c r="J86" s="5"/>
    </row>
    <row r="87" spans="1:12" x14ac:dyDescent="0.25">
      <c r="A87" s="229" t="s">
        <v>362</v>
      </c>
      <c r="G87" s="42" t="s">
        <v>362</v>
      </c>
      <c r="H87" s="4">
        <f t="shared" si="1"/>
        <v>86</v>
      </c>
      <c r="I87" s="7">
        <v>75</v>
      </c>
      <c r="J87" s="5"/>
      <c r="L87" s="7"/>
    </row>
    <row r="88" spans="1:12" x14ac:dyDescent="0.25">
      <c r="A88" s="229" t="s">
        <v>472</v>
      </c>
      <c r="G88" s="42" t="s">
        <v>472</v>
      </c>
      <c r="H88" s="4">
        <f t="shared" si="1"/>
        <v>87</v>
      </c>
      <c r="I88" s="5">
        <v>76</v>
      </c>
      <c r="J88" s="5"/>
    </row>
    <row r="89" spans="1:12" x14ac:dyDescent="0.25">
      <c r="A89" s="229" t="s">
        <v>473</v>
      </c>
      <c r="G89" s="42" t="s">
        <v>473</v>
      </c>
      <c r="H89" s="4">
        <f t="shared" si="1"/>
        <v>88</v>
      </c>
      <c r="I89" s="5">
        <v>77</v>
      </c>
      <c r="J89" s="5"/>
    </row>
    <row r="90" spans="1:12" x14ac:dyDescent="0.25">
      <c r="A90" s="229" t="s">
        <v>557</v>
      </c>
      <c r="G90" s="42" t="s">
        <v>346</v>
      </c>
      <c r="H90" s="4">
        <f t="shared" si="1"/>
        <v>89</v>
      </c>
      <c r="I90" s="5">
        <v>78</v>
      </c>
      <c r="J90" s="5"/>
    </row>
    <row r="91" spans="1:12" x14ac:dyDescent="0.25">
      <c r="A91" s="229" t="s">
        <v>174</v>
      </c>
      <c r="G91" s="42" t="s">
        <v>174</v>
      </c>
      <c r="H91" s="4">
        <f t="shared" si="1"/>
        <v>90</v>
      </c>
      <c r="I91" s="5">
        <v>79</v>
      </c>
      <c r="J91" s="5"/>
    </row>
    <row r="92" spans="1:12" x14ac:dyDescent="0.25">
      <c r="A92" s="229" t="s">
        <v>252</v>
      </c>
      <c r="G92" s="42" t="s">
        <v>252</v>
      </c>
      <c r="H92" s="4">
        <f t="shared" si="1"/>
        <v>91</v>
      </c>
      <c r="I92" s="5">
        <v>80</v>
      </c>
      <c r="J92" s="5"/>
    </row>
    <row r="93" spans="1:12" x14ac:dyDescent="0.25">
      <c r="A93" s="229" t="s">
        <v>178</v>
      </c>
      <c r="G93" s="42" t="s">
        <v>178</v>
      </c>
      <c r="H93" s="4">
        <f t="shared" si="1"/>
        <v>92</v>
      </c>
      <c r="I93" s="5">
        <v>81</v>
      </c>
      <c r="J93" s="5"/>
    </row>
    <row r="94" spans="1:12" x14ac:dyDescent="0.25">
      <c r="A94" s="229" t="s">
        <v>426</v>
      </c>
      <c r="G94" s="42" t="s">
        <v>426</v>
      </c>
      <c r="H94" s="4">
        <f t="shared" si="1"/>
        <v>93</v>
      </c>
      <c r="I94" s="5">
        <v>82</v>
      </c>
      <c r="J94" s="5"/>
    </row>
    <row r="95" spans="1:12" x14ac:dyDescent="0.25">
      <c r="A95" s="229" t="s">
        <v>220</v>
      </c>
      <c r="G95" s="42" t="s">
        <v>220</v>
      </c>
      <c r="H95" s="4">
        <f t="shared" si="1"/>
        <v>94</v>
      </c>
      <c r="I95" s="5">
        <v>83</v>
      </c>
      <c r="J95" s="5"/>
    </row>
    <row r="96" spans="1:12" x14ac:dyDescent="0.25">
      <c r="A96" s="229" t="s">
        <v>180</v>
      </c>
      <c r="G96" s="42" t="s">
        <v>180</v>
      </c>
      <c r="H96" s="4">
        <f t="shared" si="1"/>
        <v>95</v>
      </c>
      <c r="I96" s="5">
        <v>84</v>
      </c>
      <c r="J96" s="5"/>
    </row>
    <row r="97" spans="1:16" x14ac:dyDescent="0.25">
      <c r="A97" s="229" t="s">
        <v>255</v>
      </c>
      <c r="G97" s="42" t="s">
        <v>255</v>
      </c>
      <c r="H97" s="4">
        <f t="shared" si="1"/>
        <v>96</v>
      </c>
      <c r="I97" s="5">
        <v>85</v>
      </c>
      <c r="J97" s="5"/>
    </row>
    <row r="98" spans="1:16" x14ac:dyDescent="0.25">
      <c r="A98" s="229" t="s">
        <v>513</v>
      </c>
      <c r="G98" s="42" t="s">
        <v>513</v>
      </c>
      <c r="H98" s="4">
        <f t="shared" si="1"/>
        <v>97</v>
      </c>
      <c r="I98" s="5">
        <v>86</v>
      </c>
      <c r="J98" s="5"/>
    </row>
    <row r="99" spans="1:16" x14ac:dyDescent="0.25">
      <c r="A99" s="229" t="s">
        <v>490</v>
      </c>
      <c r="G99" s="42" t="s">
        <v>490</v>
      </c>
      <c r="H99" s="4">
        <f t="shared" si="1"/>
        <v>98</v>
      </c>
      <c r="I99" s="5">
        <v>87</v>
      </c>
      <c r="J99" s="5"/>
    </row>
    <row r="100" spans="1:16" x14ac:dyDescent="0.25">
      <c r="A100" s="229" t="s">
        <v>484</v>
      </c>
      <c r="G100" s="42" t="s">
        <v>484</v>
      </c>
      <c r="H100" s="4">
        <f t="shared" si="1"/>
        <v>99</v>
      </c>
      <c r="I100" s="5">
        <v>88</v>
      </c>
      <c r="J100" s="5"/>
    </row>
    <row r="101" spans="1:16" x14ac:dyDescent="0.25">
      <c r="A101" s="229" t="s">
        <v>216</v>
      </c>
      <c r="G101" s="42" t="s">
        <v>216</v>
      </c>
      <c r="H101" s="4">
        <f t="shared" si="1"/>
        <v>100</v>
      </c>
      <c r="I101" s="5">
        <v>89</v>
      </c>
      <c r="J101" s="5"/>
      <c r="N101" s="228"/>
      <c r="P101" s="58"/>
    </row>
    <row r="102" spans="1:16" x14ac:dyDescent="0.25">
      <c r="A102" s="229" t="s">
        <v>389</v>
      </c>
      <c r="G102" s="42" t="s">
        <v>389</v>
      </c>
      <c r="H102" s="4">
        <f t="shared" si="1"/>
        <v>101</v>
      </c>
      <c r="I102" s="5">
        <v>90</v>
      </c>
      <c r="J102" s="5"/>
    </row>
    <row r="103" spans="1:16" x14ac:dyDescent="0.25">
      <c r="A103" s="229" t="s">
        <v>509</v>
      </c>
      <c r="G103" s="42" t="s">
        <v>509</v>
      </c>
      <c r="H103" s="4">
        <f t="shared" si="1"/>
        <v>102</v>
      </c>
      <c r="I103" s="5">
        <v>91</v>
      </c>
      <c r="J103" s="5"/>
    </row>
    <row r="104" spans="1:16" x14ac:dyDescent="0.25">
      <c r="A104" s="229" t="s">
        <v>556</v>
      </c>
      <c r="G104" s="42" t="s">
        <v>52</v>
      </c>
      <c r="H104" s="4">
        <f t="shared" si="1"/>
        <v>103</v>
      </c>
      <c r="I104" s="5">
        <v>92</v>
      </c>
      <c r="J104" s="5"/>
    </row>
    <row r="105" spans="1:16" x14ac:dyDescent="0.25">
      <c r="A105" s="229" t="s">
        <v>274</v>
      </c>
      <c r="G105" s="42" t="s">
        <v>274</v>
      </c>
      <c r="H105" s="4">
        <f t="shared" si="1"/>
        <v>104</v>
      </c>
      <c r="I105" s="5">
        <v>93</v>
      </c>
      <c r="J105" s="5"/>
    </row>
    <row r="106" spans="1:16" x14ac:dyDescent="0.25">
      <c r="A106" s="229" t="s">
        <v>48</v>
      </c>
      <c r="G106" s="42" t="s">
        <v>48</v>
      </c>
      <c r="H106" s="4">
        <f t="shared" si="1"/>
        <v>105</v>
      </c>
      <c r="I106" s="5">
        <v>94</v>
      </c>
      <c r="J106" s="5"/>
    </row>
    <row r="107" spans="1:16" x14ac:dyDescent="0.25">
      <c r="A107" s="229" t="s">
        <v>486</v>
      </c>
      <c r="G107" s="42" t="s">
        <v>486</v>
      </c>
      <c r="H107" s="4">
        <f t="shared" si="1"/>
        <v>106</v>
      </c>
      <c r="I107" s="5">
        <v>95</v>
      </c>
      <c r="J107" s="5"/>
    </row>
    <row r="108" spans="1:16" x14ac:dyDescent="0.25">
      <c r="A108" s="25" t="s">
        <v>555</v>
      </c>
      <c r="G108" s="42" t="s">
        <v>555</v>
      </c>
      <c r="H108" s="4">
        <f t="shared" si="1"/>
        <v>107</v>
      </c>
      <c r="I108" s="5"/>
      <c r="J108" s="5"/>
    </row>
    <row r="109" spans="1:16" x14ac:dyDescent="0.25">
      <c r="A109" s="229" t="s">
        <v>475</v>
      </c>
      <c r="G109" s="42" t="s">
        <v>475</v>
      </c>
      <c r="H109" s="4">
        <f t="shared" si="1"/>
        <v>108</v>
      </c>
      <c r="I109" s="7">
        <v>96</v>
      </c>
      <c r="J109" s="5"/>
      <c r="L109" s="7"/>
    </row>
    <row r="110" spans="1:16" x14ac:dyDescent="0.25">
      <c r="A110" s="229" t="s">
        <v>258</v>
      </c>
      <c r="G110" s="42" t="s">
        <v>258</v>
      </c>
      <c r="H110" s="4">
        <f t="shared" si="1"/>
        <v>109</v>
      </c>
      <c r="I110" s="5">
        <v>97</v>
      </c>
      <c r="J110" s="5"/>
    </row>
    <row r="111" spans="1:16" x14ac:dyDescent="0.25">
      <c r="A111" s="229" t="s">
        <v>65</v>
      </c>
      <c r="G111" s="42" t="s">
        <v>65</v>
      </c>
      <c r="H111" s="4">
        <f t="shared" si="1"/>
        <v>110</v>
      </c>
      <c r="I111" s="5">
        <v>98</v>
      </c>
      <c r="J111" s="5"/>
    </row>
    <row r="112" spans="1:16" x14ac:dyDescent="0.25">
      <c r="A112" s="25" t="s">
        <v>554</v>
      </c>
      <c r="G112" s="42" t="s">
        <v>554</v>
      </c>
      <c r="H112" s="4">
        <f t="shared" si="1"/>
        <v>111</v>
      </c>
      <c r="I112" s="5"/>
      <c r="J112" s="5"/>
    </row>
    <row r="113" spans="1:15" x14ac:dyDescent="0.25">
      <c r="A113" s="229" t="s">
        <v>519</v>
      </c>
      <c r="G113" s="42" t="s">
        <v>519</v>
      </c>
      <c r="H113" s="4">
        <f t="shared" si="1"/>
        <v>112</v>
      </c>
      <c r="I113" s="7">
        <v>99</v>
      </c>
      <c r="J113" s="5"/>
      <c r="L113" s="7"/>
    </row>
    <row r="114" spans="1:15" x14ac:dyDescent="0.25">
      <c r="A114" s="229" t="s">
        <v>477</v>
      </c>
      <c r="G114" s="42" t="s">
        <v>477</v>
      </c>
      <c r="H114" s="4">
        <f t="shared" si="1"/>
        <v>113</v>
      </c>
      <c r="I114" s="5">
        <v>100</v>
      </c>
      <c r="J114" s="5"/>
    </row>
    <row r="115" spans="1:15" x14ac:dyDescent="0.25">
      <c r="A115" s="229" t="s">
        <v>129</v>
      </c>
      <c r="G115" s="42" t="s">
        <v>129</v>
      </c>
      <c r="H115" s="4">
        <f t="shared" si="1"/>
        <v>114</v>
      </c>
      <c r="I115" s="5">
        <v>101</v>
      </c>
      <c r="J115" s="5"/>
      <c r="N115" s="228"/>
      <c r="O115" s="58"/>
    </row>
    <row r="116" spans="1:15" x14ac:dyDescent="0.25">
      <c r="A116" s="229" t="s">
        <v>553</v>
      </c>
      <c r="G116" s="42" t="s">
        <v>454</v>
      </c>
      <c r="H116" s="4">
        <f t="shared" si="1"/>
        <v>115</v>
      </c>
      <c r="I116" s="5">
        <v>102</v>
      </c>
      <c r="J116" s="5"/>
    </row>
    <row r="117" spans="1:15" x14ac:dyDescent="0.25">
      <c r="A117" s="229" t="s">
        <v>133</v>
      </c>
      <c r="G117" s="42" t="s">
        <v>133</v>
      </c>
      <c r="H117" s="4">
        <f t="shared" si="1"/>
        <v>116</v>
      </c>
      <c r="I117" s="5">
        <v>103</v>
      </c>
      <c r="J117" s="5"/>
    </row>
    <row r="118" spans="1:15" x14ac:dyDescent="0.25">
      <c r="A118" s="229" t="s">
        <v>261</v>
      </c>
      <c r="G118" s="42" t="s">
        <v>261</v>
      </c>
      <c r="H118" s="4">
        <f t="shared" si="1"/>
        <v>117</v>
      </c>
      <c r="I118" s="5">
        <v>104</v>
      </c>
      <c r="J118" s="5"/>
    </row>
    <row r="119" spans="1:15" x14ac:dyDescent="0.25">
      <c r="A119" s="229" t="s">
        <v>478</v>
      </c>
      <c r="G119" s="42" t="s">
        <v>478</v>
      </c>
      <c r="H119" s="4">
        <f t="shared" si="1"/>
        <v>118</v>
      </c>
      <c r="I119" s="5">
        <v>105</v>
      </c>
      <c r="J119" s="5"/>
    </row>
    <row r="120" spans="1:15" x14ac:dyDescent="0.25">
      <c r="A120" s="229" t="s">
        <v>429</v>
      </c>
      <c r="G120" s="42" t="s">
        <v>429</v>
      </c>
      <c r="H120" s="4">
        <f t="shared" si="1"/>
        <v>119</v>
      </c>
      <c r="I120" s="5">
        <v>106</v>
      </c>
      <c r="J120" s="5"/>
    </row>
    <row r="121" spans="1:15" x14ac:dyDescent="0.25">
      <c r="A121" s="25" t="s">
        <v>552</v>
      </c>
      <c r="G121" s="42" t="s">
        <v>552</v>
      </c>
      <c r="H121" s="4">
        <f t="shared" si="1"/>
        <v>120</v>
      </c>
      <c r="I121" s="5"/>
      <c r="J121" s="5"/>
    </row>
    <row r="122" spans="1:15" x14ac:dyDescent="0.25">
      <c r="A122" s="229" t="s">
        <v>551</v>
      </c>
      <c r="G122" s="42" t="s">
        <v>91</v>
      </c>
      <c r="H122" s="4">
        <f t="shared" si="1"/>
        <v>121</v>
      </c>
      <c r="I122" s="7">
        <v>107</v>
      </c>
      <c r="J122" s="5"/>
      <c r="L122" s="7"/>
    </row>
    <row r="123" spans="1:15" x14ac:dyDescent="0.25">
      <c r="A123" s="229" t="s">
        <v>293</v>
      </c>
      <c r="G123" s="42" t="s">
        <v>293</v>
      </c>
      <c r="H123" s="4">
        <f t="shared" si="1"/>
        <v>122</v>
      </c>
      <c r="I123" s="5">
        <v>108</v>
      </c>
      <c r="J123" s="5"/>
    </row>
    <row r="124" spans="1:15" x14ac:dyDescent="0.25">
      <c r="A124" s="229" t="s">
        <v>497</v>
      </c>
      <c r="G124" s="42" t="s">
        <v>497</v>
      </c>
      <c r="H124" s="4">
        <f t="shared" si="1"/>
        <v>123</v>
      </c>
      <c r="I124" s="5">
        <v>109</v>
      </c>
      <c r="J124" s="5"/>
    </row>
    <row r="125" spans="1:15" x14ac:dyDescent="0.25">
      <c r="A125" s="25" t="s">
        <v>32</v>
      </c>
      <c r="G125" s="42" t="s">
        <v>32</v>
      </c>
      <c r="H125" s="4">
        <f t="shared" si="1"/>
        <v>124</v>
      </c>
      <c r="I125" s="5"/>
      <c r="J125" s="5"/>
    </row>
    <row r="126" spans="1:15" x14ac:dyDescent="0.25">
      <c r="A126" s="229" t="s">
        <v>550</v>
      </c>
      <c r="G126" s="42" t="s">
        <v>45</v>
      </c>
      <c r="H126" s="4">
        <f t="shared" si="1"/>
        <v>125</v>
      </c>
      <c r="I126" s="7">
        <v>110</v>
      </c>
      <c r="J126" s="5"/>
      <c r="L126" s="7"/>
    </row>
    <row r="127" spans="1:15" x14ac:dyDescent="0.25">
      <c r="A127" s="229" t="s">
        <v>313</v>
      </c>
      <c r="G127" s="42" t="s">
        <v>313</v>
      </c>
      <c r="H127" s="4">
        <f t="shared" si="1"/>
        <v>126</v>
      </c>
      <c r="I127" s="5">
        <v>111</v>
      </c>
      <c r="J127" s="5"/>
    </row>
    <row r="128" spans="1:15" x14ac:dyDescent="0.25">
      <c r="A128" s="25" t="s">
        <v>549</v>
      </c>
      <c r="G128" s="42" t="s">
        <v>549</v>
      </c>
      <c r="H128" s="4">
        <f t="shared" si="1"/>
        <v>127</v>
      </c>
      <c r="I128" s="5"/>
      <c r="J128" s="5"/>
    </row>
    <row r="129" spans="1:15" x14ac:dyDescent="0.25">
      <c r="A129" s="229" t="s">
        <v>278</v>
      </c>
      <c r="G129" s="42" t="s">
        <v>278</v>
      </c>
      <c r="H129" s="4">
        <f t="shared" si="1"/>
        <v>128</v>
      </c>
      <c r="I129" s="5">
        <v>112</v>
      </c>
      <c r="J129" s="5"/>
    </row>
    <row r="130" spans="1:15" x14ac:dyDescent="0.25">
      <c r="A130" s="229" t="s">
        <v>548</v>
      </c>
      <c r="G130" s="42" t="s">
        <v>40</v>
      </c>
      <c r="H130" s="4">
        <f t="shared" si="1"/>
        <v>129</v>
      </c>
      <c r="I130" s="5">
        <v>113</v>
      </c>
      <c r="J130" s="5"/>
    </row>
    <row r="131" spans="1:15" x14ac:dyDescent="0.25">
      <c r="A131" s="229" t="s">
        <v>547</v>
      </c>
      <c r="G131" s="42" t="s">
        <v>35</v>
      </c>
      <c r="H131" s="4">
        <f t="shared" si="1"/>
        <v>130</v>
      </c>
      <c r="I131" s="5">
        <v>114</v>
      </c>
      <c r="J131" s="5"/>
    </row>
    <row r="132" spans="1:15" x14ac:dyDescent="0.25">
      <c r="A132" s="25" t="s">
        <v>546</v>
      </c>
      <c r="G132" s="42" t="s">
        <v>546</v>
      </c>
      <c r="H132" s="4">
        <f t="shared" ref="H132:H193" si="2">H131+1</f>
        <v>131</v>
      </c>
      <c r="I132" s="5"/>
      <c r="J132" s="5"/>
    </row>
    <row r="133" spans="1:15" x14ac:dyDescent="0.25">
      <c r="A133" s="229" t="s">
        <v>405</v>
      </c>
      <c r="G133" s="42" t="s">
        <v>406</v>
      </c>
      <c r="H133" s="4">
        <f t="shared" si="2"/>
        <v>132</v>
      </c>
      <c r="I133" s="7">
        <v>115</v>
      </c>
      <c r="J133" s="5"/>
      <c r="L133" s="7"/>
    </row>
    <row r="134" spans="1:15" x14ac:dyDescent="0.25">
      <c r="A134" s="229" t="s">
        <v>184</v>
      </c>
      <c r="G134" s="42" t="s">
        <v>184</v>
      </c>
      <c r="H134" s="4">
        <f t="shared" si="2"/>
        <v>133</v>
      </c>
      <c r="I134" s="5">
        <v>116</v>
      </c>
      <c r="J134" s="5"/>
    </row>
    <row r="135" spans="1:15" x14ac:dyDescent="0.25">
      <c r="A135" s="229" t="s">
        <v>545</v>
      </c>
      <c r="G135" s="42" t="s">
        <v>227</v>
      </c>
      <c r="H135" s="4">
        <f t="shared" si="2"/>
        <v>134</v>
      </c>
      <c r="I135" s="5">
        <v>117</v>
      </c>
      <c r="J135" s="5"/>
      <c r="N135" s="228"/>
      <c r="O135" s="58"/>
    </row>
    <row r="136" spans="1:15" x14ac:dyDescent="0.25">
      <c r="A136" s="229" t="s">
        <v>521</v>
      </c>
      <c r="G136" s="42" t="s">
        <v>521</v>
      </c>
      <c r="H136" s="4">
        <f t="shared" si="2"/>
        <v>135</v>
      </c>
      <c r="I136" s="5">
        <v>118</v>
      </c>
      <c r="J136" s="5"/>
    </row>
    <row r="137" spans="1:15" x14ac:dyDescent="0.25">
      <c r="A137" s="229" t="s">
        <v>544</v>
      </c>
      <c r="G137" s="42" t="s">
        <v>67</v>
      </c>
      <c r="H137" s="4">
        <f t="shared" si="2"/>
        <v>136</v>
      </c>
      <c r="I137" s="5">
        <v>119</v>
      </c>
      <c r="J137" s="5"/>
    </row>
    <row r="138" spans="1:15" x14ac:dyDescent="0.25">
      <c r="A138" s="229" t="s">
        <v>543</v>
      </c>
      <c r="G138" s="42" t="s">
        <v>397</v>
      </c>
      <c r="H138" s="4">
        <f t="shared" si="2"/>
        <v>137</v>
      </c>
      <c r="I138" s="5">
        <v>120</v>
      </c>
      <c r="J138" s="5"/>
    </row>
    <row r="139" spans="1:15" x14ac:dyDescent="0.25">
      <c r="A139" s="229" t="s">
        <v>522</v>
      </c>
      <c r="G139" s="42" t="s">
        <v>522</v>
      </c>
      <c r="H139" s="4">
        <f t="shared" si="2"/>
        <v>138</v>
      </c>
      <c r="I139" s="5">
        <v>121</v>
      </c>
      <c r="J139" s="5"/>
    </row>
    <row r="140" spans="1:15" x14ac:dyDescent="0.25">
      <c r="A140" s="229" t="s">
        <v>508</v>
      </c>
      <c r="G140" s="42" t="s">
        <v>508</v>
      </c>
      <c r="H140" s="4">
        <f t="shared" si="2"/>
        <v>139</v>
      </c>
      <c r="I140" s="5">
        <v>122</v>
      </c>
      <c r="J140" s="5"/>
      <c r="N140" s="57"/>
    </row>
    <row r="141" spans="1:15" x14ac:dyDescent="0.25">
      <c r="A141" s="229" t="s">
        <v>223</v>
      </c>
      <c r="G141" s="42" t="s">
        <v>223</v>
      </c>
      <c r="H141" s="4">
        <f t="shared" si="2"/>
        <v>140</v>
      </c>
      <c r="I141" s="5">
        <v>123</v>
      </c>
      <c r="J141" s="5"/>
    </row>
    <row r="142" spans="1:15" x14ac:dyDescent="0.25">
      <c r="A142" s="229" t="s">
        <v>584</v>
      </c>
      <c r="G142" s="42" t="s">
        <v>251</v>
      </c>
      <c r="H142" s="4">
        <f t="shared" si="2"/>
        <v>141</v>
      </c>
      <c r="I142" s="5">
        <v>124</v>
      </c>
      <c r="J142" s="5"/>
      <c r="N142" s="57"/>
    </row>
    <row r="143" spans="1:15" x14ac:dyDescent="0.25">
      <c r="A143" s="229" t="s">
        <v>514</v>
      </c>
      <c r="G143" s="42" t="s">
        <v>514</v>
      </c>
      <c r="H143" s="4">
        <f t="shared" si="2"/>
        <v>142</v>
      </c>
      <c r="I143" s="5">
        <v>125</v>
      </c>
      <c r="J143" s="5"/>
    </row>
    <row r="144" spans="1:15" x14ac:dyDescent="0.25">
      <c r="A144" s="229" t="s">
        <v>523</v>
      </c>
      <c r="G144" s="42" t="s">
        <v>523</v>
      </c>
      <c r="H144" s="4">
        <f t="shared" si="2"/>
        <v>143</v>
      </c>
      <c r="I144" s="5">
        <v>126</v>
      </c>
      <c r="J144" s="5"/>
    </row>
    <row r="145" spans="1:12" x14ac:dyDescent="0.25">
      <c r="A145" s="229" t="s">
        <v>520</v>
      </c>
      <c r="G145" s="42" t="s">
        <v>520</v>
      </c>
      <c r="H145" s="4">
        <f t="shared" si="2"/>
        <v>144</v>
      </c>
      <c r="I145" s="5">
        <v>127</v>
      </c>
      <c r="J145" s="5"/>
    </row>
    <row r="146" spans="1:12" x14ac:dyDescent="0.25">
      <c r="A146" s="229" t="s">
        <v>524</v>
      </c>
      <c r="G146" s="42" t="s">
        <v>524</v>
      </c>
      <c r="H146" s="4">
        <f t="shared" si="2"/>
        <v>145</v>
      </c>
      <c r="I146" s="5">
        <v>128</v>
      </c>
      <c r="J146" s="5"/>
    </row>
    <row r="147" spans="1:12" x14ac:dyDescent="0.25">
      <c r="A147" s="229" t="s">
        <v>188</v>
      </c>
      <c r="G147" s="42" t="s">
        <v>188</v>
      </c>
      <c r="H147" s="4">
        <f t="shared" si="2"/>
        <v>146</v>
      </c>
      <c r="I147" s="5">
        <v>129</v>
      </c>
      <c r="J147" s="5"/>
    </row>
    <row r="148" spans="1:12" x14ac:dyDescent="0.25">
      <c r="A148" s="229" t="s">
        <v>525</v>
      </c>
      <c r="G148" s="42" t="s">
        <v>525</v>
      </c>
      <c r="H148" s="4">
        <f t="shared" si="2"/>
        <v>147</v>
      </c>
      <c r="I148" s="5">
        <v>130</v>
      </c>
      <c r="J148" s="5"/>
    </row>
    <row r="149" spans="1:12" x14ac:dyDescent="0.25">
      <c r="A149" s="229" t="s">
        <v>583</v>
      </c>
      <c r="G149" s="42" t="s">
        <v>511</v>
      </c>
      <c r="H149" s="4">
        <f t="shared" si="2"/>
        <v>148</v>
      </c>
      <c r="I149" s="5">
        <v>131</v>
      </c>
      <c r="J149" s="5"/>
    </row>
    <row r="150" spans="1:12" x14ac:dyDescent="0.25">
      <c r="A150" s="25" t="s">
        <v>542</v>
      </c>
      <c r="G150" s="42" t="s">
        <v>542</v>
      </c>
      <c r="H150" s="4">
        <f t="shared" si="2"/>
        <v>149</v>
      </c>
      <c r="I150" s="5"/>
      <c r="J150" s="5"/>
    </row>
    <row r="151" spans="1:12" x14ac:dyDescent="0.25">
      <c r="A151" s="229" t="s">
        <v>350</v>
      </c>
      <c r="G151" s="42" t="s">
        <v>350</v>
      </c>
      <c r="H151" s="4">
        <f t="shared" si="2"/>
        <v>150</v>
      </c>
      <c r="I151" s="7">
        <v>132</v>
      </c>
      <c r="J151" s="5"/>
      <c r="L151" s="7"/>
    </row>
    <row r="152" spans="1:12" x14ac:dyDescent="0.25">
      <c r="A152" s="229" t="s">
        <v>541</v>
      </c>
      <c r="G152" s="42" t="s">
        <v>71</v>
      </c>
      <c r="H152" s="4">
        <f t="shared" si="2"/>
        <v>151</v>
      </c>
      <c r="I152" s="5">
        <v>133</v>
      </c>
      <c r="J152" s="5"/>
    </row>
    <row r="153" spans="1:12" x14ac:dyDescent="0.25">
      <c r="A153" s="229" t="s">
        <v>191</v>
      </c>
      <c r="G153" s="42" t="s">
        <v>191</v>
      </c>
      <c r="H153" s="4">
        <f t="shared" si="2"/>
        <v>152</v>
      </c>
      <c r="I153" s="5">
        <v>134</v>
      </c>
      <c r="J153" s="5"/>
    </row>
    <row r="154" spans="1:12" x14ac:dyDescent="0.25">
      <c r="A154" s="229" t="s">
        <v>354</v>
      </c>
      <c r="G154" s="42" t="s">
        <v>354</v>
      </c>
      <c r="H154" s="4">
        <f t="shared" si="2"/>
        <v>153</v>
      </c>
      <c r="I154" s="5">
        <v>135</v>
      </c>
      <c r="J154" s="5"/>
    </row>
    <row r="155" spans="1:12" x14ac:dyDescent="0.25">
      <c r="A155" s="229" t="s">
        <v>540</v>
      </c>
      <c r="G155" s="42" t="s">
        <v>379</v>
      </c>
      <c r="H155" s="4">
        <f t="shared" si="2"/>
        <v>154</v>
      </c>
      <c r="I155" s="5">
        <v>136</v>
      </c>
      <c r="J155" s="5"/>
    </row>
    <row r="156" spans="1:12" x14ac:dyDescent="0.25">
      <c r="A156" s="229" t="s">
        <v>195</v>
      </c>
      <c r="G156" s="42" t="s">
        <v>195</v>
      </c>
      <c r="H156" s="4">
        <f t="shared" si="2"/>
        <v>155</v>
      </c>
      <c r="I156" s="5">
        <v>137</v>
      </c>
      <c r="J156" s="5"/>
    </row>
    <row r="157" spans="1:12" x14ac:dyDescent="0.25">
      <c r="A157" s="229" t="s">
        <v>337</v>
      </c>
      <c r="G157" s="42" t="s">
        <v>337</v>
      </c>
      <c r="H157" s="4">
        <f t="shared" si="2"/>
        <v>156</v>
      </c>
      <c r="I157" s="5">
        <v>138</v>
      </c>
      <c r="J157" s="5"/>
    </row>
    <row r="158" spans="1:12" x14ac:dyDescent="0.25">
      <c r="A158" s="229" t="s">
        <v>94</v>
      </c>
      <c r="G158" s="42" t="s">
        <v>94</v>
      </c>
      <c r="H158" s="4">
        <f t="shared" si="2"/>
        <v>157</v>
      </c>
      <c r="I158" s="5">
        <v>139</v>
      </c>
      <c r="J158" s="5"/>
    </row>
    <row r="159" spans="1:12" x14ac:dyDescent="0.25">
      <c r="A159" s="229" t="s">
        <v>510</v>
      </c>
      <c r="G159" s="42" t="s">
        <v>510</v>
      </c>
      <c r="H159" s="4">
        <f t="shared" si="2"/>
        <v>158</v>
      </c>
      <c r="I159" s="5">
        <v>140</v>
      </c>
      <c r="J159" s="5"/>
    </row>
    <row r="160" spans="1:12" x14ac:dyDescent="0.25">
      <c r="A160" s="229" t="s">
        <v>539</v>
      </c>
      <c r="G160" s="42" t="s">
        <v>400</v>
      </c>
      <c r="H160" s="4">
        <f t="shared" si="2"/>
        <v>159</v>
      </c>
      <c r="I160" s="5">
        <v>141</v>
      </c>
      <c r="J160" s="5"/>
    </row>
    <row r="161" spans="1:14" x14ac:dyDescent="0.25">
      <c r="A161" s="229" t="s">
        <v>444</v>
      </c>
      <c r="G161" s="42" t="s">
        <v>444</v>
      </c>
      <c r="H161" s="4">
        <f t="shared" si="2"/>
        <v>160</v>
      </c>
      <c r="I161" s="5">
        <v>142</v>
      </c>
      <c r="J161" s="5"/>
    </row>
    <row r="162" spans="1:14" x14ac:dyDescent="0.25">
      <c r="A162" s="229" t="s">
        <v>231</v>
      </c>
      <c r="G162" s="42" t="s">
        <v>231</v>
      </c>
      <c r="H162" s="4">
        <f t="shared" si="2"/>
        <v>161</v>
      </c>
      <c r="I162" s="5">
        <v>143</v>
      </c>
      <c r="J162" s="5"/>
    </row>
    <row r="163" spans="1:14" x14ac:dyDescent="0.25">
      <c r="A163" s="229" t="s">
        <v>286</v>
      </c>
      <c r="G163" s="42" t="s">
        <v>286</v>
      </c>
      <c r="H163" s="4">
        <f t="shared" si="2"/>
        <v>162</v>
      </c>
      <c r="I163" s="5">
        <v>144</v>
      </c>
      <c r="J163" s="5"/>
    </row>
    <row r="164" spans="1:14" x14ac:dyDescent="0.25">
      <c r="A164" s="229" t="s">
        <v>451</v>
      </c>
      <c r="G164" s="42" t="s">
        <v>451</v>
      </c>
      <c r="H164" s="4">
        <f t="shared" si="2"/>
        <v>163</v>
      </c>
      <c r="I164" s="5">
        <v>145</v>
      </c>
      <c r="J164" s="5"/>
    </row>
    <row r="165" spans="1:14" x14ac:dyDescent="0.25">
      <c r="A165" s="229" t="s">
        <v>136</v>
      </c>
      <c r="G165" s="42" t="s">
        <v>136</v>
      </c>
      <c r="H165" s="4">
        <f t="shared" si="2"/>
        <v>164</v>
      </c>
      <c r="I165" s="5">
        <v>146</v>
      </c>
      <c r="J165" s="5"/>
    </row>
    <row r="166" spans="1:14" x14ac:dyDescent="0.25">
      <c r="A166" s="229" t="s">
        <v>366</v>
      </c>
      <c r="G166" s="42" t="s">
        <v>366</v>
      </c>
      <c r="H166" s="4">
        <f t="shared" si="2"/>
        <v>165</v>
      </c>
      <c r="I166" s="5">
        <v>147</v>
      </c>
      <c r="J166" s="5"/>
    </row>
    <row r="167" spans="1:14" x14ac:dyDescent="0.25">
      <c r="A167" s="229" t="s">
        <v>151</v>
      </c>
      <c r="G167" s="42" t="s">
        <v>151</v>
      </c>
      <c r="H167" s="4">
        <f t="shared" si="2"/>
        <v>166</v>
      </c>
      <c r="I167" s="5">
        <v>148</v>
      </c>
      <c r="J167" s="5"/>
    </row>
    <row r="168" spans="1:14" x14ac:dyDescent="0.25">
      <c r="A168" s="229" t="s">
        <v>139</v>
      </c>
      <c r="G168" s="42" t="s">
        <v>139</v>
      </c>
      <c r="H168" s="4">
        <f t="shared" si="2"/>
        <v>167</v>
      </c>
      <c r="I168" s="5">
        <v>149</v>
      </c>
      <c r="J168" s="5"/>
    </row>
    <row r="169" spans="1:14" x14ac:dyDescent="0.25">
      <c r="A169" s="229" t="s">
        <v>538</v>
      </c>
      <c r="G169" s="42" t="s">
        <v>403</v>
      </c>
      <c r="H169" s="4">
        <f t="shared" si="2"/>
        <v>168</v>
      </c>
      <c r="I169" s="5">
        <v>150</v>
      </c>
      <c r="J169" s="5"/>
    </row>
    <row r="170" spans="1:14" x14ac:dyDescent="0.25">
      <c r="A170" s="25" t="s">
        <v>537</v>
      </c>
      <c r="G170" s="42" t="s">
        <v>537</v>
      </c>
      <c r="H170" s="4">
        <f t="shared" si="2"/>
        <v>169</v>
      </c>
      <c r="I170" s="5"/>
      <c r="J170" s="5"/>
    </row>
    <row r="171" spans="1:14" x14ac:dyDescent="0.25">
      <c r="A171" s="229" t="s">
        <v>339</v>
      </c>
      <c r="G171" s="42" t="s">
        <v>339</v>
      </c>
      <c r="H171" s="4">
        <f t="shared" si="2"/>
        <v>170</v>
      </c>
      <c r="I171" s="7">
        <v>151</v>
      </c>
      <c r="J171" s="5"/>
      <c r="L171" s="7"/>
    </row>
    <row r="172" spans="1:14" x14ac:dyDescent="0.25">
      <c r="A172" s="229" t="s">
        <v>281</v>
      </c>
      <c r="G172" s="42" t="s">
        <v>281</v>
      </c>
      <c r="H172" s="4">
        <f t="shared" si="2"/>
        <v>171</v>
      </c>
      <c r="I172" s="5">
        <v>152</v>
      </c>
      <c r="J172" s="5"/>
      <c r="N172" s="228"/>
    </row>
    <row r="173" spans="1:14" x14ac:dyDescent="0.25">
      <c r="A173" s="25" t="s">
        <v>536</v>
      </c>
      <c r="G173" s="42" t="s">
        <v>536</v>
      </c>
      <c r="H173" s="4">
        <f t="shared" si="2"/>
        <v>172</v>
      </c>
      <c r="I173" s="5"/>
      <c r="J173" s="5"/>
    </row>
    <row r="174" spans="1:14" x14ac:dyDescent="0.25">
      <c r="A174" s="229" t="s">
        <v>535</v>
      </c>
      <c r="G174" s="42" t="s">
        <v>431</v>
      </c>
      <c r="H174" s="4">
        <f t="shared" si="2"/>
        <v>173</v>
      </c>
      <c r="I174" s="7">
        <v>153</v>
      </c>
      <c r="J174" s="5"/>
      <c r="L174" s="7"/>
    </row>
    <row r="175" spans="1:14" x14ac:dyDescent="0.25">
      <c r="A175" s="229" t="s">
        <v>434</v>
      </c>
      <c r="G175" s="42" t="s">
        <v>434</v>
      </c>
      <c r="H175" s="4">
        <f t="shared" si="2"/>
        <v>174</v>
      </c>
      <c r="I175" s="5">
        <v>154</v>
      </c>
      <c r="J175" s="5"/>
      <c r="N175" s="228"/>
    </row>
    <row r="176" spans="1:14" x14ac:dyDescent="0.25">
      <c r="A176" s="229" t="s">
        <v>526</v>
      </c>
      <c r="G176" s="42" t="s">
        <v>526</v>
      </c>
      <c r="H176" s="4">
        <f t="shared" si="2"/>
        <v>175</v>
      </c>
      <c r="I176" s="5">
        <v>155</v>
      </c>
      <c r="J176" s="5"/>
    </row>
    <row r="177" spans="1:16" x14ac:dyDescent="0.25">
      <c r="A177" s="229" t="s">
        <v>582</v>
      </c>
      <c r="G177" s="42" t="s">
        <v>527</v>
      </c>
      <c r="H177" s="4">
        <f t="shared" si="2"/>
        <v>176</v>
      </c>
      <c r="I177" s="5">
        <v>156</v>
      </c>
      <c r="J177" s="5"/>
    </row>
    <row r="178" spans="1:16" x14ac:dyDescent="0.25">
      <c r="A178" s="229" t="s">
        <v>534</v>
      </c>
      <c r="G178" s="42" t="s">
        <v>234</v>
      </c>
      <c r="H178" s="4">
        <f t="shared" si="2"/>
        <v>177</v>
      </c>
      <c r="I178" s="5">
        <v>157</v>
      </c>
      <c r="J178" s="5"/>
    </row>
    <row r="179" spans="1:16" x14ac:dyDescent="0.25">
      <c r="A179" s="25" t="s">
        <v>26</v>
      </c>
      <c r="G179" s="42" t="s">
        <v>26</v>
      </c>
      <c r="H179" s="4">
        <f t="shared" si="2"/>
        <v>178</v>
      </c>
      <c r="I179" s="5"/>
      <c r="J179" s="5"/>
    </row>
    <row r="180" spans="1:16" x14ac:dyDescent="0.25">
      <c r="A180" s="229" t="s">
        <v>533</v>
      </c>
      <c r="G180" s="42" t="s">
        <v>468</v>
      </c>
      <c r="H180" s="4">
        <f t="shared" si="2"/>
        <v>179</v>
      </c>
      <c r="I180" s="7">
        <v>158</v>
      </c>
      <c r="J180" s="5"/>
      <c r="L180" s="7"/>
    </row>
    <row r="181" spans="1:16" x14ac:dyDescent="0.25">
      <c r="A181" s="229" t="s">
        <v>532</v>
      </c>
      <c r="G181" s="42" t="s">
        <v>325</v>
      </c>
      <c r="H181" s="4">
        <f t="shared" si="2"/>
        <v>180</v>
      </c>
      <c r="I181" s="5">
        <v>159</v>
      </c>
      <c r="J181" s="5"/>
    </row>
    <row r="182" spans="1:16" x14ac:dyDescent="0.25">
      <c r="A182" s="229" t="s">
        <v>481</v>
      </c>
      <c r="G182" s="42" t="s">
        <v>481</v>
      </c>
      <c r="H182" s="4">
        <f t="shared" si="2"/>
        <v>181</v>
      </c>
      <c r="I182" s="5">
        <v>160</v>
      </c>
      <c r="J182" s="5"/>
    </row>
    <row r="183" spans="1:16" x14ac:dyDescent="0.25">
      <c r="A183" s="229" t="s">
        <v>531</v>
      </c>
      <c r="G183" s="42" t="s">
        <v>358</v>
      </c>
      <c r="H183" s="4">
        <f t="shared" si="2"/>
        <v>182</v>
      </c>
      <c r="I183" s="5">
        <v>161</v>
      </c>
      <c r="J183" s="5"/>
    </row>
    <row r="184" spans="1:16" x14ac:dyDescent="0.25">
      <c r="A184" s="229" t="s">
        <v>317</v>
      </c>
      <c r="G184" s="42" t="s">
        <v>317</v>
      </c>
      <c r="H184" s="4">
        <f t="shared" si="2"/>
        <v>183</v>
      </c>
      <c r="I184" s="5">
        <v>162</v>
      </c>
      <c r="J184" s="5"/>
    </row>
    <row r="185" spans="1:16" x14ac:dyDescent="0.25">
      <c r="A185" s="229" t="s">
        <v>438</v>
      </c>
      <c r="G185" s="42" t="s">
        <v>438</v>
      </c>
      <c r="H185" s="4">
        <f t="shared" si="2"/>
        <v>184</v>
      </c>
      <c r="I185" s="5">
        <v>163</v>
      </c>
      <c r="J185" s="5"/>
    </row>
    <row r="186" spans="1:16" x14ac:dyDescent="0.25">
      <c r="A186" s="229" t="s">
        <v>289</v>
      </c>
      <c r="G186" s="42" t="s">
        <v>289</v>
      </c>
      <c r="H186" s="4">
        <f t="shared" si="2"/>
        <v>185</v>
      </c>
      <c r="I186" s="5">
        <v>164</v>
      </c>
      <c r="J186" s="5"/>
    </row>
    <row r="187" spans="1:16" x14ac:dyDescent="0.25">
      <c r="A187" s="229" t="s">
        <v>530</v>
      </c>
      <c r="G187" s="42" t="s">
        <v>142</v>
      </c>
      <c r="H187" s="4">
        <f t="shared" si="2"/>
        <v>186</v>
      </c>
      <c r="I187" s="5">
        <v>165</v>
      </c>
      <c r="J187" s="5"/>
    </row>
    <row r="188" spans="1:16" x14ac:dyDescent="0.25">
      <c r="A188" s="229" t="s">
        <v>382</v>
      </c>
      <c r="G188" s="42" t="s">
        <v>382</v>
      </c>
      <c r="H188" s="4">
        <f t="shared" si="2"/>
        <v>187</v>
      </c>
      <c r="I188" s="5">
        <v>166</v>
      </c>
      <c r="J188" s="5"/>
    </row>
    <row r="189" spans="1:16" x14ac:dyDescent="0.25">
      <c r="A189" s="229" t="s">
        <v>411</v>
      </c>
      <c r="G189" s="42" t="s">
        <v>411</v>
      </c>
      <c r="H189" s="4">
        <f t="shared" si="2"/>
        <v>188</v>
      </c>
      <c r="I189" s="5">
        <v>167</v>
      </c>
      <c r="J189" s="5"/>
    </row>
    <row r="190" spans="1:16" x14ac:dyDescent="0.25">
      <c r="A190" s="229" t="s">
        <v>144</v>
      </c>
      <c r="G190" s="42" t="s">
        <v>144</v>
      </c>
      <c r="H190" s="4">
        <f t="shared" si="2"/>
        <v>189</v>
      </c>
      <c r="I190" s="5">
        <v>168</v>
      </c>
      <c r="J190" s="5"/>
      <c r="N190" s="228"/>
      <c r="O190" s="58"/>
      <c r="P190" s="59"/>
    </row>
    <row r="191" spans="1:16" x14ac:dyDescent="0.25">
      <c r="A191" s="25" t="s">
        <v>529</v>
      </c>
      <c r="G191" s="42" t="s">
        <v>529</v>
      </c>
      <c r="H191" s="4">
        <f t="shared" si="2"/>
        <v>190</v>
      </c>
      <c r="I191" s="5"/>
      <c r="J191" s="5"/>
    </row>
    <row r="192" spans="1:16" x14ac:dyDescent="0.25">
      <c r="A192" s="229" t="s">
        <v>148</v>
      </c>
      <c r="G192" s="42" t="s">
        <v>148</v>
      </c>
      <c r="H192" s="4">
        <f t="shared" si="2"/>
        <v>191</v>
      </c>
      <c r="I192" s="107">
        <v>169</v>
      </c>
      <c r="J192" s="5"/>
      <c r="L192" s="7"/>
    </row>
    <row r="193" spans="1:12" x14ac:dyDescent="0.25">
      <c r="A193" s="229" t="s">
        <v>98</v>
      </c>
      <c r="G193" s="42" t="s">
        <v>98</v>
      </c>
      <c r="H193" s="4">
        <f t="shared" si="2"/>
        <v>192</v>
      </c>
      <c r="I193" s="107">
        <v>170</v>
      </c>
      <c r="J193" s="5"/>
    </row>
    <row r="194" spans="1:12" x14ac:dyDescent="0.25">
      <c r="A194" s="229"/>
    </row>
    <row r="195" spans="1:12" x14ac:dyDescent="0.25">
      <c r="A195" s="25" t="s">
        <v>596</v>
      </c>
      <c r="G195" s="25" t="s">
        <v>596</v>
      </c>
    </row>
    <row r="196" spans="1:12" x14ac:dyDescent="0.25">
      <c r="A196" s="229" t="s">
        <v>595</v>
      </c>
      <c r="G196" s="2" t="s">
        <v>595</v>
      </c>
    </row>
    <row r="197" spans="1:12" x14ac:dyDescent="0.25">
      <c r="A197" s="229" t="s">
        <v>594</v>
      </c>
      <c r="G197" s="2" t="s">
        <v>594</v>
      </c>
    </row>
    <row r="198" spans="1:12" x14ac:dyDescent="0.25">
      <c r="A198" s="229" t="s">
        <v>593</v>
      </c>
      <c r="G198" s="2" t="s">
        <v>593</v>
      </c>
    </row>
    <row r="199" spans="1:12" x14ac:dyDescent="0.25">
      <c r="A199" s="229" t="s">
        <v>592</v>
      </c>
      <c r="G199" s="2" t="s">
        <v>592</v>
      </c>
    </row>
    <row r="200" spans="1:12" x14ac:dyDescent="0.25">
      <c r="A200" s="229" t="s">
        <v>591</v>
      </c>
      <c r="G200" s="2" t="s">
        <v>591</v>
      </c>
    </row>
    <row r="201" spans="1:12" x14ac:dyDescent="0.25">
      <c r="A201" s="229" t="s">
        <v>590</v>
      </c>
      <c r="G201" s="2" t="s">
        <v>590</v>
      </c>
    </row>
    <row r="202" spans="1:12" x14ac:dyDescent="0.25">
      <c r="A202" s="229" t="s">
        <v>589</v>
      </c>
      <c r="G202" s="2" t="s">
        <v>589</v>
      </c>
    </row>
    <row r="203" spans="1:12" x14ac:dyDescent="0.25">
      <c r="A203" s="229" t="s">
        <v>588</v>
      </c>
      <c r="G203" s="2" t="s">
        <v>588</v>
      </c>
    </row>
    <row r="205" spans="1:12" s="9" customFormat="1" x14ac:dyDescent="0.25">
      <c r="A205" s="230"/>
      <c r="G205" s="72"/>
      <c r="K205" s="80"/>
      <c r="L205" s="80"/>
    </row>
    <row r="206" spans="1:12" s="9" customFormat="1" x14ac:dyDescent="0.25">
      <c r="A206" s="230"/>
      <c r="G206" s="72"/>
      <c r="K206" s="80"/>
      <c r="L206" s="80"/>
    </row>
    <row r="207" spans="1:12" s="9" customFormat="1" x14ac:dyDescent="0.25">
      <c r="A207" s="230"/>
      <c r="G207" s="72"/>
      <c r="K207" s="80"/>
      <c r="L207" s="80"/>
    </row>
    <row r="208" spans="1:12" s="9" customFormat="1" x14ac:dyDescent="0.25">
      <c r="A208" s="230"/>
      <c r="G208" s="72"/>
      <c r="K208" s="80"/>
      <c r="L208" s="80"/>
    </row>
    <row r="209" spans="1:12" s="9" customFormat="1" x14ac:dyDescent="0.25">
      <c r="A209" s="230"/>
      <c r="G209" s="72"/>
      <c r="K209" s="80"/>
      <c r="L209" s="80"/>
    </row>
    <row r="210" spans="1:12" s="9" customFormat="1" x14ac:dyDescent="0.25">
      <c r="A210" s="230"/>
      <c r="D210" s="43"/>
      <c r="G210" s="72"/>
      <c r="K210" s="80"/>
      <c r="L210" s="222"/>
    </row>
    <row r="211" spans="1:12" s="9" customFormat="1" x14ac:dyDescent="0.25">
      <c r="A211" s="230"/>
      <c r="D211" s="43"/>
      <c r="G211" s="72"/>
      <c r="K211" s="80"/>
      <c r="L211" s="80"/>
    </row>
    <row r="212" spans="1:12" s="9" customFormat="1" x14ac:dyDescent="0.25">
      <c r="A212" s="230"/>
      <c r="D212" s="43"/>
      <c r="G212" s="72"/>
      <c r="K212" s="80"/>
      <c r="L212" s="80"/>
    </row>
    <row r="213" spans="1:12" s="9" customFormat="1" x14ac:dyDescent="0.25">
      <c r="A213" s="230"/>
      <c r="D213" s="43"/>
      <c r="G213" s="72"/>
      <c r="K213" s="80"/>
      <c r="L213" s="80"/>
    </row>
    <row r="214" spans="1:12" s="9" customFormat="1" x14ac:dyDescent="0.25">
      <c r="A214" s="230"/>
      <c r="D214" s="43"/>
      <c r="G214" s="72"/>
      <c r="K214" s="80"/>
      <c r="L214" s="80"/>
    </row>
    <row r="215" spans="1:12" s="9" customFormat="1" x14ac:dyDescent="0.25">
      <c r="A215" s="230"/>
      <c r="D215" s="43"/>
      <c r="G215" s="72"/>
      <c r="K215" s="80"/>
      <c r="L215" s="80"/>
    </row>
    <row r="216" spans="1:12" s="9" customFormat="1" x14ac:dyDescent="0.25">
      <c r="A216" s="230"/>
      <c r="D216" s="43"/>
      <c r="G216" s="72"/>
      <c r="K216" s="80"/>
      <c r="L216" s="80"/>
    </row>
    <row r="217" spans="1:12" s="9" customFormat="1" x14ac:dyDescent="0.25">
      <c r="A217" s="230"/>
      <c r="D217" s="43"/>
      <c r="G217" s="72"/>
      <c r="K217" s="80"/>
      <c r="L217" s="80"/>
    </row>
    <row r="218" spans="1:12" s="9" customFormat="1" x14ac:dyDescent="0.25">
      <c r="A218" s="230"/>
      <c r="D218" s="43"/>
      <c r="G218" s="72"/>
      <c r="K218" s="80"/>
      <c r="L218" s="80"/>
    </row>
    <row r="219" spans="1:12" s="9" customFormat="1" x14ac:dyDescent="0.25">
      <c r="A219" s="230"/>
      <c r="D219" s="43"/>
      <c r="G219" s="72"/>
      <c r="K219" s="80"/>
      <c r="L219" s="80"/>
    </row>
    <row r="220" spans="1:12" s="9" customFormat="1" x14ac:dyDescent="0.25">
      <c r="A220" s="230"/>
      <c r="D220" s="43"/>
      <c r="G220" s="72"/>
      <c r="K220" s="80"/>
      <c r="L220" s="80"/>
    </row>
    <row r="221" spans="1:12" s="9" customFormat="1" x14ac:dyDescent="0.25">
      <c r="A221" s="230"/>
      <c r="D221" s="43"/>
      <c r="G221" s="72"/>
      <c r="K221" s="80"/>
      <c r="L221" s="80"/>
    </row>
    <row r="222" spans="1:12" s="9" customFormat="1" x14ac:dyDescent="0.25">
      <c r="A222" s="230"/>
      <c r="D222" s="43"/>
      <c r="G222" s="72"/>
      <c r="K222" s="80"/>
      <c r="L222" s="80"/>
    </row>
    <row r="223" spans="1:12" s="9" customFormat="1" x14ac:dyDescent="0.25">
      <c r="A223" s="230"/>
      <c r="D223" s="43"/>
      <c r="G223" s="72"/>
      <c r="K223" s="80"/>
      <c r="L223" s="80"/>
    </row>
    <row r="224" spans="1:12" s="9" customFormat="1" x14ac:dyDescent="0.25">
      <c r="A224" s="230"/>
      <c r="D224" s="43"/>
      <c r="G224" s="72"/>
      <c r="K224" s="80"/>
      <c r="L224" s="80"/>
    </row>
    <row r="225" spans="1:13" s="9" customFormat="1" x14ac:dyDescent="0.25">
      <c r="A225" s="230"/>
      <c r="D225" s="43"/>
      <c r="G225" s="72"/>
      <c r="K225" s="80"/>
      <c r="L225" s="80"/>
    </row>
    <row r="226" spans="1:13" s="9" customFormat="1" x14ac:dyDescent="0.25">
      <c r="A226" s="230"/>
      <c r="D226" s="43"/>
      <c r="G226" s="72"/>
      <c r="K226" s="80"/>
      <c r="L226" s="80"/>
    </row>
    <row r="227" spans="1:13" s="9" customFormat="1" x14ac:dyDescent="0.25">
      <c r="A227" s="230"/>
      <c r="D227" s="43"/>
      <c r="G227" s="72"/>
      <c r="K227" s="80"/>
      <c r="L227" s="80"/>
    </row>
    <row r="228" spans="1:13" s="9" customFormat="1" x14ac:dyDescent="0.25">
      <c r="A228" s="230"/>
      <c r="D228" s="43"/>
      <c r="G228" s="72"/>
      <c r="K228" s="80"/>
      <c r="L228" s="80"/>
    </row>
    <row r="229" spans="1:13" s="9" customFormat="1" x14ac:dyDescent="0.25">
      <c r="A229" s="230"/>
      <c r="D229" s="43"/>
      <c r="G229" s="72"/>
      <c r="K229" s="80"/>
      <c r="L229" s="80"/>
    </row>
    <row r="230" spans="1:13" s="9" customFormat="1" x14ac:dyDescent="0.25">
      <c r="A230" s="230"/>
      <c r="D230" s="43"/>
      <c r="G230" s="72"/>
      <c r="K230" s="80"/>
      <c r="L230" s="80"/>
    </row>
    <row r="231" spans="1:13" s="9" customFormat="1" x14ac:dyDescent="0.25">
      <c r="A231" s="230"/>
      <c r="D231" s="43"/>
      <c r="G231" s="72"/>
      <c r="K231" s="80"/>
      <c r="L231" s="80"/>
    </row>
    <row r="232" spans="1:13" s="9" customFormat="1" x14ac:dyDescent="0.25">
      <c r="A232" s="230"/>
      <c r="D232" s="43"/>
      <c r="G232" s="72"/>
      <c r="K232" s="80"/>
      <c r="L232" s="80"/>
    </row>
    <row r="233" spans="1:13" s="9" customFormat="1" x14ac:dyDescent="0.25">
      <c r="A233" s="230"/>
      <c r="D233" s="43"/>
      <c r="G233" s="72"/>
      <c r="K233" s="80"/>
      <c r="L233" s="80"/>
    </row>
    <row r="234" spans="1:13" s="9" customFormat="1" x14ac:dyDescent="0.25">
      <c r="A234" s="230"/>
      <c r="D234" s="43"/>
      <c r="G234" s="72"/>
      <c r="K234" s="80"/>
      <c r="L234" s="80"/>
    </row>
    <row r="235" spans="1:13" s="9" customFormat="1" x14ac:dyDescent="0.25">
      <c r="A235" s="230"/>
      <c r="D235" s="43"/>
      <c r="G235" s="72"/>
      <c r="K235" s="80"/>
      <c r="L235" s="80"/>
    </row>
    <row r="236" spans="1:13" s="9" customFormat="1" x14ac:dyDescent="0.25">
      <c r="A236" s="230"/>
      <c r="D236" s="43"/>
      <c r="G236" s="72"/>
      <c r="K236" s="80"/>
      <c r="L236" s="80"/>
    </row>
    <row r="237" spans="1:13" s="9" customFormat="1" x14ac:dyDescent="0.25">
      <c r="A237" s="230"/>
      <c r="D237" s="43"/>
      <c r="G237" s="72"/>
      <c r="K237" s="80"/>
      <c r="L237" s="222"/>
      <c r="M237" s="223"/>
    </row>
    <row r="238" spans="1:13" s="9" customFormat="1" x14ac:dyDescent="0.25">
      <c r="A238" s="230"/>
      <c r="D238" s="43"/>
      <c r="G238" s="72"/>
      <c r="K238" s="80"/>
      <c r="L238" s="80"/>
    </row>
    <row r="239" spans="1:13" s="9" customFormat="1" x14ac:dyDescent="0.25">
      <c r="A239" s="230"/>
      <c r="D239" s="43"/>
      <c r="G239" s="72"/>
      <c r="K239" s="80"/>
      <c r="L239" s="80"/>
    </row>
    <row r="240" spans="1:13" s="9" customFormat="1" x14ac:dyDescent="0.25">
      <c r="A240" s="230"/>
      <c r="D240" s="43"/>
      <c r="G240" s="72"/>
      <c r="K240" s="80"/>
      <c r="L240" s="222"/>
    </row>
    <row r="241" spans="1:13" s="9" customFormat="1" x14ac:dyDescent="0.25">
      <c r="A241" s="230"/>
      <c r="D241" s="43"/>
      <c r="G241" s="72"/>
      <c r="K241" s="80"/>
      <c r="L241" s="80"/>
      <c r="M241" s="224"/>
    </row>
    <row r="242" spans="1:13" s="9" customFormat="1" x14ac:dyDescent="0.25">
      <c r="A242" s="230"/>
      <c r="D242" s="43"/>
      <c r="G242" s="72"/>
      <c r="K242" s="80"/>
      <c r="L242" s="80"/>
      <c r="M242" s="224"/>
    </row>
    <row r="243" spans="1:13" s="9" customFormat="1" x14ac:dyDescent="0.25">
      <c r="A243" s="230"/>
      <c r="D243" s="43"/>
      <c r="G243" s="72"/>
      <c r="K243" s="80"/>
      <c r="L243" s="80"/>
    </row>
    <row r="244" spans="1:13" s="9" customFormat="1" x14ac:dyDescent="0.25">
      <c r="A244" s="230"/>
      <c r="D244" s="43"/>
      <c r="G244" s="72"/>
      <c r="K244" s="80"/>
      <c r="L244" s="80"/>
    </row>
    <row r="245" spans="1:13" s="9" customFormat="1" x14ac:dyDescent="0.25">
      <c r="A245" s="230"/>
      <c r="D245" s="43"/>
      <c r="G245" s="72"/>
      <c r="K245" s="80"/>
      <c r="L245" s="222"/>
      <c r="M245" s="223"/>
    </row>
    <row r="246" spans="1:13" s="9" customFormat="1" x14ac:dyDescent="0.25">
      <c r="A246" s="230"/>
      <c r="D246" s="43"/>
      <c r="G246" s="72"/>
      <c r="K246" s="80"/>
      <c r="L246" s="80"/>
    </row>
    <row r="247" spans="1:13" s="9" customFormat="1" x14ac:dyDescent="0.25">
      <c r="A247" s="230"/>
      <c r="D247" s="43"/>
      <c r="G247" s="72"/>
      <c r="K247" s="80"/>
      <c r="L247" s="80"/>
    </row>
    <row r="248" spans="1:13" s="9" customFormat="1" x14ac:dyDescent="0.25">
      <c r="A248" s="230"/>
      <c r="D248" s="43"/>
      <c r="G248" s="72"/>
      <c r="K248" s="80"/>
      <c r="L248" s="80"/>
    </row>
    <row r="249" spans="1:13" s="9" customFormat="1" x14ac:dyDescent="0.25">
      <c r="A249" s="230"/>
      <c r="D249" s="43"/>
      <c r="G249" s="72"/>
      <c r="K249" s="80"/>
      <c r="L249" s="80"/>
    </row>
    <row r="250" spans="1:13" s="9" customFormat="1" x14ac:dyDescent="0.25">
      <c r="A250" s="230"/>
      <c r="D250" s="43"/>
      <c r="G250" s="72"/>
      <c r="K250" s="80"/>
      <c r="L250" s="80"/>
    </row>
    <row r="251" spans="1:13" s="9" customFormat="1" x14ac:dyDescent="0.25">
      <c r="A251" s="230"/>
      <c r="D251" s="43"/>
      <c r="G251" s="72"/>
      <c r="K251" s="80"/>
      <c r="L251" s="80"/>
    </row>
    <row r="252" spans="1:13" s="9" customFormat="1" x14ac:dyDescent="0.25">
      <c r="A252" s="230"/>
      <c r="D252" s="43"/>
      <c r="G252" s="72"/>
      <c r="K252" s="80"/>
      <c r="L252" s="80"/>
    </row>
    <row r="253" spans="1:13" s="9" customFormat="1" x14ac:dyDescent="0.25">
      <c r="A253" s="230"/>
      <c r="D253" s="43"/>
      <c r="G253" s="72"/>
      <c r="K253" s="80"/>
      <c r="L253" s="80"/>
    </row>
    <row r="254" spans="1:13" s="9" customFormat="1" x14ac:dyDescent="0.25">
      <c r="A254" s="230"/>
      <c r="D254" s="43"/>
      <c r="G254" s="72"/>
      <c r="K254" s="80"/>
      <c r="L254" s="80"/>
    </row>
    <row r="255" spans="1:13" s="9" customFormat="1" x14ac:dyDescent="0.25">
      <c r="A255" s="230"/>
      <c r="D255" s="43"/>
      <c r="G255" s="72"/>
      <c r="K255" s="80"/>
      <c r="L255" s="80"/>
    </row>
    <row r="256" spans="1:13" s="9" customFormat="1" x14ac:dyDescent="0.25">
      <c r="A256" s="230"/>
      <c r="D256" s="43"/>
      <c r="G256" s="72"/>
      <c r="K256" s="80"/>
      <c r="L256" s="80"/>
    </row>
    <row r="257" spans="1:12" s="9" customFormat="1" x14ac:dyDescent="0.25">
      <c r="A257" s="230"/>
      <c r="D257" s="43"/>
      <c r="G257" s="72"/>
      <c r="K257" s="80"/>
      <c r="L257" s="80"/>
    </row>
    <row r="258" spans="1:12" s="9" customFormat="1" x14ac:dyDescent="0.25">
      <c r="A258" s="230"/>
      <c r="D258" s="43"/>
      <c r="G258" s="72"/>
      <c r="K258" s="80"/>
      <c r="L258" s="80"/>
    </row>
    <row r="259" spans="1:12" s="9" customFormat="1" x14ac:dyDescent="0.25">
      <c r="A259" s="230"/>
      <c r="D259" s="43"/>
      <c r="G259" s="72"/>
      <c r="K259" s="80"/>
      <c r="L259" s="80"/>
    </row>
    <row r="260" spans="1:12" s="9" customFormat="1" x14ac:dyDescent="0.25">
      <c r="A260" s="230"/>
      <c r="D260" s="43"/>
      <c r="G260" s="72"/>
      <c r="K260" s="80"/>
      <c r="L260" s="80"/>
    </row>
    <row r="261" spans="1:12" s="9" customFormat="1" x14ac:dyDescent="0.25">
      <c r="A261" s="230"/>
      <c r="D261" s="43"/>
      <c r="G261" s="72"/>
      <c r="K261" s="80"/>
      <c r="L261" s="80"/>
    </row>
    <row r="262" spans="1:12" s="9" customFormat="1" x14ac:dyDescent="0.25">
      <c r="A262" s="230"/>
      <c r="D262" s="43"/>
      <c r="G262" s="72"/>
      <c r="K262" s="80"/>
      <c r="L262" s="80"/>
    </row>
    <row r="263" spans="1:12" s="9" customFormat="1" x14ac:dyDescent="0.25">
      <c r="A263" s="230"/>
      <c r="D263" s="43"/>
      <c r="G263" s="72"/>
      <c r="K263" s="80"/>
      <c r="L263" s="80"/>
    </row>
    <row r="264" spans="1:12" s="9" customFormat="1" x14ac:dyDescent="0.25">
      <c r="A264" s="230"/>
      <c r="D264" s="43"/>
      <c r="G264" s="72"/>
      <c r="K264" s="80"/>
      <c r="L264" s="80"/>
    </row>
    <row r="265" spans="1:12" s="9" customFormat="1" x14ac:dyDescent="0.25">
      <c r="A265" s="230"/>
      <c r="D265" s="43"/>
      <c r="G265" s="72"/>
      <c r="K265" s="80"/>
      <c r="L265" s="80"/>
    </row>
    <row r="266" spans="1:12" s="9" customFormat="1" x14ac:dyDescent="0.25">
      <c r="A266" s="230"/>
      <c r="D266" s="43"/>
      <c r="G266" s="72"/>
      <c r="K266" s="80"/>
      <c r="L266" s="80"/>
    </row>
    <row r="267" spans="1:12" s="9" customFormat="1" x14ac:dyDescent="0.25">
      <c r="A267" s="230"/>
      <c r="D267" s="43"/>
      <c r="G267" s="72"/>
      <c r="K267" s="80"/>
      <c r="L267" s="80"/>
    </row>
    <row r="268" spans="1:12" s="9" customFormat="1" x14ac:dyDescent="0.25">
      <c r="A268" s="230"/>
      <c r="D268" s="43"/>
      <c r="G268" s="72"/>
      <c r="K268" s="80"/>
      <c r="L268" s="80"/>
    </row>
    <row r="269" spans="1:12" s="9" customFormat="1" x14ac:dyDescent="0.25">
      <c r="A269" s="230"/>
      <c r="D269" s="43"/>
      <c r="G269" s="72"/>
      <c r="K269" s="80"/>
      <c r="L269" s="80"/>
    </row>
    <row r="270" spans="1:12" s="9" customFormat="1" x14ac:dyDescent="0.25">
      <c r="A270" s="230"/>
      <c r="D270" s="43"/>
      <c r="G270" s="72"/>
      <c r="K270" s="80"/>
      <c r="L270" s="80"/>
    </row>
    <row r="271" spans="1:12" s="9" customFormat="1" x14ac:dyDescent="0.25">
      <c r="A271" s="230"/>
      <c r="D271" s="43"/>
      <c r="G271" s="72"/>
      <c r="K271" s="80"/>
      <c r="L271" s="80"/>
    </row>
    <row r="272" spans="1:12" s="9" customFormat="1" x14ac:dyDescent="0.25">
      <c r="A272" s="230"/>
      <c r="D272" s="43"/>
      <c r="G272" s="72"/>
      <c r="K272" s="80"/>
      <c r="L272" s="80"/>
    </row>
    <row r="273" spans="1:12" s="9" customFormat="1" x14ac:dyDescent="0.25">
      <c r="A273" s="230"/>
      <c r="D273" s="43"/>
      <c r="G273" s="72"/>
      <c r="K273" s="80"/>
      <c r="L273" s="80"/>
    </row>
    <row r="274" spans="1:12" s="9" customFormat="1" x14ac:dyDescent="0.25">
      <c r="A274" s="230"/>
      <c r="D274" s="43"/>
      <c r="G274" s="72"/>
      <c r="K274" s="80"/>
      <c r="L274" s="80"/>
    </row>
    <row r="275" spans="1:12" s="9" customFormat="1" x14ac:dyDescent="0.25">
      <c r="A275" s="230"/>
      <c r="D275" s="43"/>
      <c r="G275" s="72"/>
      <c r="K275" s="80"/>
      <c r="L275" s="80"/>
    </row>
    <row r="276" spans="1:12" s="9" customFormat="1" x14ac:dyDescent="0.25">
      <c r="A276" s="230"/>
      <c r="D276" s="43"/>
      <c r="G276" s="72"/>
      <c r="K276" s="80"/>
      <c r="L276" s="80"/>
    </row>
    <row r="277" spans="1:12" s="9" customFormat="1" x14ac:dyDescent="0.25">
      <c r="A277" s="230"/>
      <c r="D277" s="43"/>
      <c r="G277" s="72"/>
      <c r="K277" s="80"/>
      <c r="L277" s="80"/>
    </row>
    <row r="278" spans="1:12" s="9" customFormat="1" x14ac:dyDescent="0.25">
      <c r="A278" s="230"/>
      <c r="D278" s="43"/>
      <c r="G278" s="72"/>
      <c r="K278" s="80"/>
      <c r="L278" s="80"/>
    </row>
    <row r="279" spans="1:12" s="9" customFormat="1" x14ac:dyDescent="0.25">
      <c r="A279" s="230"/>
      <c r="D279" s="43"/>
      <c r="G279" s="72"/>
      <c r="K279" s="80"/>
      <c r="L279" s="80"/>
    </row>
    <row r="280" spans="1:12" s="9" customFormat="1" x14ac:dyDescent="0.25">
      <c r="A280" s="230"/>
      <c r="D280" s="43"/>
      <c r="G280" s="72"/>
      <c r="K280" s="80"/>
      <c r="L280" s="80"/>
    </row>
    <row r="281" spans="1:12" s="9" customFormat="1" x14ac:dyDescent="0.25">
      <c r="A281" s="230"/>
      <c r="D281" s="43"/>
      <c r="G281" s="72"/>
      <c r="K281" s="80"/>
      <c r="L281" s="80"/>
    </row>
    <row r="282" spans="1:12" s="9" customFormat="1" x14ac:dyDescent="0.25">
      <c r="A282" s="230"/>
      <c r="D282" s="43"/>
      <c r="G282" s="72"/>
      <c r="K282" s="80"/>
      <c r="L282" s="80"/>
    </row>
    <row r="283" spans="1:12" s="9" customFormat="1" x14ac:dyDescent="0.25">
      <c r="A283" s="230"/>
      <c r="D283" s="43"/>
      <c r="G283" s="72"/>
      <c r="K283" s="80"/>
      <c r="L283" s="80"/>
    </row>
    <row r="284" spans="1:12" s="9" customFormat="1" x14ac:dyDescent="0.25">
      <c r="A284" s="230"/>
      <c r="D284" s="43"/>
      <c r="G284" s="72"/>
      <c r="K284" s="80"/>
      <c r="L284" s="80"/>
    </row>
    <row r="285" spans="1:12" s="9" customFormat="1" x14ac:dyDescent="0.25">
      <c r="A285" s="230"/>
      <c r="D285" s="43"/>
      <c r="G285" s="72"/>
      <c r="K285" s="80"/>
      <c r="L285" s="80"/>
    </row>
    <row r="286" spans="1:12" s="9" customFormat="1" x14ac:dyDescent="0.25">
      <c r="A286" s="230"/>
      <c r="D286" s="43"/>
      <c r="G286" s="72"/>
      <c r="K286" s="80"/>
      <c r="L286" s="80"/>
    </row>
    <row r="287" spans="1:12" s="9" customFormat="1" x14ac:dyDescent="0.25">
      <c r="A287" s="230"/>
      <c r="D287" s="43"/>
      <c r="G287" s="72"/>
      <c r="K287" s="80"/>
      <c r="L287" s="80"/>
    </row>
    <row r="288" spans="1:12" s="9" customFormat="1" x14ac:dyDescent="0.25">
      <c r="A288" s="230"/>
      <c r="D288" s="43"/>
      <c r="G288" s="72"/>
      <c r="K288" s="80"/>
      <c r="L288" s="80"/>
    </row>
    <row r="289" spans="1:12" s="9" customFormat="1" x14ac:dyDescent="0.25">
      <c r="A289" s="230"/>
      <c r="D289" s="43"/>
      <c r="G289" s="72"/>
      <c r="K289" s="80"/>
      <c r="L289" s="80"/>
    </row>
    <row r="290" spans="1:12" s="9" customFormat="1" x14ac:dyDescent="0.25">
      <c r="A290" s="230"/>
      <c r="D290" s="43"/>
      <c r="G290" s="72"/>
      <c r="K290" s="80"/>
      <c r="L290" s="80"/>
    </row>
    <row r="291" spans="1:12" s="9" customFormat="1" x14ac:dyDescent="0.25">
      <c r="A291" s="230"/>
      <c r="D291" s="43"/>
      <c r="G291" s="72"/>
      <c r="K291" s="80"/>
      <c r="L291" s="80"/>
    </row>
    <row r="292" spans="1:12" s="9" customFormat="1" x14ac:dyDescent="0.25">
      <c r="A292" s="230"/>
      <c r="D292" s="43"/>
      <c r="G292" s="72"/>
      <c r="K292" s="80"/>
      <c r="L292" s="80"/>
    </row>
    <row r="293" spans="1:12" s="9" customFormat="1" x14ac:dyDescent="0.25">
      <c r="A293" s="230"/>
      <c r="D293" s="43"/>
      <c r="G293" s="72"/>
      <c r="K293" s="80"/>
      <c r="L293" s="80"/>
    </row>
    <row r="294" spans="1:12" s="9" customFormat="1" x14ac:dyDescent="0.25">
      <c r="A294" s="230"/>
      <c r="D294" s="43"/>
      <c r="G294" s="72"/>
      <c r="K294" s="80"/>
      <c r="L294" s="80"/>
    </row>
    <row r="295" spans="1:12" s="9" customFormat="1" x14ac:dyDescent="0.25">
      <c r="A295" s="230"/>
      <c r="D295" s="43"/>
      <c r="G295" s="72"/>
      <c r="K295" s="80"/>
      <c r="L295" s="80"/>
    </row>
    <row r="296" spans="1:12" s="9" customFormat="1" x14ac:dyDescent="0.25">
      <c r="A296" s="230"/>
      <c r="D296" s="43"/>
      <c r="G296" s="72"/>
      <c r="K296" s="80"/>
      <c r="L296" s="80"/>
    </row>
    <row r="297" spans="1:12" s="9" customFormat="1" x14ac:dyDescent="0.25">
      <c r="A297" s="230"/>
      <c r="D297" s="43"/>
      <c r="G297" s="72"/>
      <c r="K297" s="80"/>
      <c r="L297" s="80"/>
    </row>
    <row r="298" spans="1:12" s="9" customFormat="1" x14ac:dyDescent="0.25">
      <c r="A298" s="230"/>
      <c r="D298" s="43"/>
      <c r="G298" s="72"/>
      <c r="K298" s="80"/>
      <c r="L298" s="80"/>
    </row>
    <row r="299" spans="1:12" s="9" customFormat="1" x14ac:dyDescent="0.25">
      <c r="A299" s="230"/>
      <c r="D299" s="43"/>
      <c r="G299" s="72"/>
      <c r="K299" s="80"/>
      <c r="L299" s="80"/>
    </row>
    <row r="300" spans="1:12" s="9" customFormat="1" x14ac:dyDescent="0.25">
      <c r="A300" s="230"/>
      <c r="D300" s="43"/>
      <c r="G300" s="72"/>
      <c r="K300" s="80"/>
      <c r="L300" s="80"/>
    </row>
    <row r="301" spans="1:12" s="9" customFormat="1" x14ac:dyDescent="0.25">
      <c r="A301" s="230"/>
      <c r="D301" s="43"/>
      <c r="G301" s="72"/>
      <c r="K301" s="80"/>
      <c r="L301" s="80"/>
    </row>
    <row r="302" spans="1:12" s="9" customFormat="1" x14ac:dyDescent="0.25">
      <c r="A302" s="230"/>
      <c r="D302" s="43"/>
      <c r="G302" s="72"/>
      <c r="K302" s="80"/>
      <c r="L302" s="80"/>
    </row>
    <row r="303" spans="1:12" s="9" customFormat="1" x14ac:dyDescent="0.25">
      <c r="A303" s="230"/>
      <c r="D303" s="43"/>
      <c r="G303" s="72"/>
      <c r="K303" s="80"/>
      <c r="L303" s="80"/>
    </row>
    <row r="304" spans="1:12" s="9" customFormat="1" x14ac:dyDescent="0.25">
      <c r="A304" s="230"/>
      <c r="D304" s="43"/>
      <c r="G304" s="72"/>
      <c r="K304" s="80"/>
      <c r="L304" s="80"/>
    </row>
    <row r="305" spans="1:12" s="9" customFormat="1" x14ac:dyDescent="0.25">
      <c r="A305" s="230"/>
      <c r="D305" s="43"/>
      <c r="G305" s="72"/>
      <c r="K305" s="80"/>
      <c r="L305" s="80"/>
    </row>
    <row r="306" spans="1:12" s="9" customFormat="1" x14ac:dyDescent="0.25">
      <c r="A306" s="230"/>
      <c r="D306" s="43"/>
      <c r="G306" s="72"/>
      <c r="K306" s="80"/>
      <c r="L306" s="80"/>
    </row>
    <row r="307" spans="1:12" s="9" customFormat="1" x14ac:dyDescent="0.25">
      <c r="A307" s="230"/>
      <c r="D307" s="43"/>
      <c r="G307" s="72"/>
      <c r="K307" s="80"/>
      <c r="L307" s="80"/>
    </row>
    <row r="308" spans="1:12" s="9" customFormat="1" x14ac:dyDescent="0.25">
      <c r="A308" s="230"/>
      <c r="D308" s="43"/>
      <c r="G308" s="72"/>
      <c r="K308" s="80"/>
      <c r="L308" s="80"/>
    </row>
    <row r="309" spans="1:12" s="9" customFormat="1" x14ac:dyDescent="0.25">
      <c r="A309" s="230"/>
      <c r="D309" s="43"/>
      <c r="G309" s="72"/>
      <c r="K309" s="80"/>
      <c r="L309" s="80"/>
    </row>
    <row r="310" spans="1:12" s="9" customFormat="1" x14ac:dyDescent="0.25">
      <c r="A310" s="230"/>
      <c r="D310" s="43"/>
      <c r="G310" s="72"/>
      <c r="K310" s="80"/>
      <c r="L310" s="80"/>
    </row>
    <row r="311" spans="1:12" s="9" customFormat="1" x14ac:dyDescent="0.25">
      <c r="A311" s="230"/>
      <c r="D311" s="43"/>
      <c r="G311" s="72"/>
      <c r="K311" s="80"/>
      <c r="L311" s="80"/>
    </row>
    <row r="312" spans="1:12" s="9" customFormat="1" x14ac:dyDescent="0.25">
      <c r="A312" s="230"/>
      <c r="D312" s="43"/>
      <c r="G312" s="72"/>
      <c r="K312" s="80"/>
      <c r="L312" s="80"/>
    </row>
    <row r="313" spans="1:12" s="9" customFormat="1" x14ac:dyDescent="0.25">
      <c r="A313" s="230"/>
      <c r="D313" s="43"/>
      <c r="G313" s="72"/>
      <c r="K313" s="80"/>
      <c r="L313" s="80"/>
    </row>
    <row r="314" spans="1:12" s="9" customFormat="1" x14ac:dyDescent="0.25">
      <c r="A314" s="230"/>
      <c r="D314" s="43"/>
      <c r="G314" s="72"/>
      <c r="K314" s="80"/>
      <c r="L314" s="80"/>
    </row>
    <row r="315" spans="1:12" s="9" customFormat="1" x14ac:dyDescent="0.25">
      <c r="A315" s="230"/>
      <c r="D315" s="43"/>
      <c r="G315" s="72"/>
      <c r="K315" s="80"/>
      <c r="L315" s="80"/>
    </row>
    <row r="316" spans="1:12" s="9" customFormat="1" x14ac:dyDescent="0.25">
      <c r="A316" s="230"/>
      <c r="D316" s="43"/>
      <c r="G316" s="72"/>
      <c r="K316" s="80"/>
      <c r="L316" s="80"/>
    </row>
    <row r="317" spans="1:12" s="9" customFormat="1" x14ac:dyDescent="0.25">
      <c r="A317" s="230"/>
      <c r="D317" s="43"/>
      <c r="G317" s="72"/>
      <c r="K317" s="80"/>
      <c r="L317" s="80"/>
    </row>
    <row r="318" spans="1:12" s="9" customFormat="1" x14ac:dyDescent="0.25">
      <c r="A318" s="230"/>
      <c r="D318" s="43"/>
      <c r="G318" s="72"/>
      <c r="K318" s="80"/>
      <c r="L318" s="80"/>
    </row>
    <row r="319" spans="1:12" s="9" customFormat="1" x14ac:dyDescent="0.25">
      <c r="A319" s="230"/>
      <c r="D319" s="43"/>
      <c r="G319" s="72"/>
      <c r="K319" s="80"/>
      <c r="L319" s="80"/>
    </row>
    <row r="320" spans="1:12" s="9" customFormat="1" x14ac:dyDescent="0.25">
      <c r="A320" s="230"/>
      <c r="D320" s="43"/>
      <c r="G320" s="72"/>
      <c r="K320" s="80"/>
      <c r="L320" s="80"/>
    </row>
    <row r="321" spans="1:12" s="9" customFormat="1" x14ac:dyDescent="0.25">
      <c r="A321" s="230"/>
      <c r="D321" s="43"/>
      <c r="G321" s="72"/>
      <c r="K321" s="80"/>
      <c r="L321" s="80"/>
    </row>
    <row r="322" spans="1:12" s="9" customFormat="1" x14ac:dyDescent="0.25">
      <c r="A322" s="230"/>
      <c r="D322" s="43"/>
      <c r="G322" s="72"/>
      <c r="K322" s="80"/>
      <c r="L322" s="80"/>
    </row>
    <row r="323" spans="1:12" s="9" customFormat="1" x14ac:dyDescent="0.25">
      <c r="A323" s="230"/>
      <c r="D323" s="43"/>
      <c r="G323" s="72"/>
      <c r="K323" s="80"/>
      <c r="L323" s="80"/>
    </row>
    <row r="324" spans="1:12" s="9" customFormat="1" x14ac:dyDescent="0.25">
      <c r="A324" s="230"/>
      <c r="D324" s="43"/>
      <c r="G324" s="72"/>
      <c r="K324" s="80"/>
      <c r="L324" s="80"/>
    </row>
    <row r="325" spans="1:12" s="9" customFormat="1" x14ac:dyDescent="0.25">
      <c r="A325" s="230"/>
      <c r="D325" s="43"/>
      <c r="G325" s="72"/>
      <c r="K325" s="80"/>
      <c r="L325" s="80"/>
    </row>
    <row r="326" spans="1:12" s="9" customFormat="1" x14ac:dyDescent="0.25">
      <c r="A326" s="230"/>
      <c r="D326" s="43"/>
      <c r="G326" s="72"/>
      <c r="K326" s="80"/>
      <c r="L326" s="80"/>
    </row>
    <row r="327" spans="1:12" s="9" customFormat="1" x14ac:dyDescent="0.25">
      <c r="A327" s="230"/>
      <c r="D327" s="43"/>
      <c r="G327" s="72"/>
      <c r="K327" s="80"/>
      <c r="L327" s="80"/>
    </row>
    <row r="328" spans="1:12" s="9" customFormat="1" x14ac:dyDescent="0.25">
      <c r="A328" s="230"/>
      <c r="D328" s="43"/>
      <c r="G328" s="72"/>
      <c r="K328" s="80"/>
      <c r="L328" s="80"/>
    </row>
    <row r="329" spans="1:12" s="9" customFormat="1" x14ac:dyDescent="0.25">
      <c r="A329" s="230"/>
      <c r="D329" s="43"/>
      <c r="G329" s="72"/>
      <c r="K329" s="80"/>
      <c r="L329" s="80"/>
    </row>
    <row r="330" spans="1:12" s="9" customFormat="1" x14ac:dyDescent="0.25">
      <c r="A330" s="230"/>
      <c r="D330" s="43"/>
      <c r="G330" s="72"/>
      <c r="K330" s="80"/>
      <c r="L330" s="80"/>
    </row>
    <row r="331" spans="1:12" s="9" customFormat="1" x14ac:dyDescent="0.25">
      <c r="A331" s="230"/>
      <c r="D331" s="43"/>
      <c r="G331" s="72"/>
      <c r="K331" s="80"/>
      <c r="L331" s="80"/>
    </row>
    <row r="332" spans="1:12" s="9" customFormat="1" x14ac:dyDescent="0.25">
      <c r="A332" s="230"/>
      <c r="D332" s="43"/>
      <c r="G332" s="72"/>
      <c r="K332" s="80"/>
      <c r="L332" s="80"/>
    </row>
    <row r="333" spans="1:12" s="9" customFormat="1" x14ac:dyDescent="0.25">
      <c r="A333" s="230"/>
      <c r="D333" s="43"/>
      <c r="G333" s="72"/>
      <c r="K333" s="80"/>
      <c r="L333" s="80"/>
    </row>
    <row r="334" spans="1:12" s="9" customFormat="1" x14ac:dyDescent="0.25">
      <c r="A334" s="230"/>
      <c r="D334" s="43"/>
      <c r="G334" s="72"/>
      <c r="K334" s="80"/>
      <c r="L334" s="80"/>
    </row>
    <row r="335" spans="1:12" s="9" customFormat="1" x14ac:dyDescent="0.25">
      <c r="A335" s="230"/>
      <c r="D335" s="43"/>
      <c r="G335" s="72"/>
      <c r="K335" s="80"/>
      <c r="L335" s="80"/>
    </row>
    <row r="336" spans="1:12" s="9" customFormat="1" x14ac:dyDescent="0.25">
      <c r="A336" s="230"/>
      <c r="D336" s="43"/>
      <c r="G336" s="72"/>
      <c r="K336" s="80"/>
      <c r="L336" s="80"/>
    </row>
    <row r="337" spans="1:12" s="9" customFormat="1" x14ac:dyDescent="0.25">
      <c r="A337" s="230"/>
      <c r="D337" s="43"/>
      <c r="G337" s="72"/>
      <c r="K337" s="80"/>
      <c r="L337" s="80"/>
    </row>
    <row r="338" spans="1:12" s="9" customFormat="1" x14ac:dyDescent="0.25">
      <c r="A338" s="230"/>
      <c r="D338" s="43"/>
      <c r="G338" s="72"/>
      <c r="K338" s="80"/>
      <c r="L338" s="80"/>
    </row>
    <row r="339" spans="1:12" s="9" customFormat="1" x14ac:dyDescent="0.25">
      <c r="A339" s="230"/>
      <c r="D339" s="43"/>
      <c r="G339" s="72"/>
      <c r="K339" s="80"/>
      <c r="L339" s="80"/>
    </row>
    <row r="340" spans="1:12" s="9" customFormat="1" x14ac:dyDescent="0.25">
      <c r="A340" s="230"/>
      <c r="D340" s="43"/>
      <c r="G340" s="72"/>
      <c r="K340" s="80"/>
      <c r="L340" s="80"/>
    </row>
    <row r="341" spans="1:12" s="9" customFormat="1" x14ac:dyDescent="0.25">
      <c r="A341" s="230"/>
      <c r="D341" s="43"/>
      <c r="G341" s="72"/>
      <c r="K341" s="80"/>
      <c r="L341" s="80"/>
    </row>
    <row r="342" spans="1:12" s="9" customFormat="1" x14ac:dyDescent="0.25">
      <c r="A342" s="230"/>
      <c r="D342" s="43"/>
      <c r="G342" s="72"/>
      <c r="K342" s="80"/>
      <c r="L342" s="80"/>
    </row>
    <row r="343" spans="1:12" s="9" customFormat="1" x14ac:dyDescent="0.25">
      <c r="A343" s="230"/>
      <c r="D343" s="43"/>
      <c r="G343" s="72"/>
      <c r="K343" s="80"/>
      <c r="L343" s="80"/>
    </row>
    <row r="344" spans="1:12" s="9" customFormat="1" x14ac:dyDescent="0.25">
      <c r="A344" s="230"/>
      <c r="D344" s="43"/>
      <c r="G344" s="72"/>
      <c r="K344" s="80"/>
      <c r="L344" s="80"/>
    </row>
    <row r="345" spans="1:12" s="9" customFormat="1" x14ac:dyDescent="0.25">
      <c r="A345" s="230"/>
      <c r="D345" s="43"/>
      <c r="G345" s="72"/>
      <c r="K345" s="80"/>
      <c r="L345" s="80"/>
    </row>
    <row r="346" spans="1:12" s="9" customFormat="1" x14ac:dyDescent="0.25">
      <c r="A346" s="230"/>
      <c r="D346" s="43"/>
      <c r="G346" s="72"/>
      <c r="K346" s="80"/>
      <c r="L346" s="80"/>
    </row>
    <row r="347" spans="1:12" s="9" customFormat="1" x14ac:dyDescent="0.25">
      <c r="A347" s="230"/>
      <c r="D347" s="43"/>
      <c r="G347" s="72"/>
      <c r="K347" s="80"/>
      <c r="L347" s="80"/>
    </row>
    <row r="348" spans="1:12" s="9" customFormat="1" x14ac:dyDescent="0.25">
      <c r="A348" s="230"/>
      <c r="D348" s="43"/>
      <c r="G348" s="72"/>
      <c r="K348" s="80"/>
      <c r="L348" s="80"/>
    </row>
    <row r="349" spans="1:12" s="9" customFormat="1" x14ac:dyDescent="0.25">
      <c r="A349" s="230"/>
      <c r="D349" s="43"/>
      <c r="G349" s="72"/>
      <c r="K349" s="80"/>
      <c r="L349" s="80"/>
    </row>
    <row r="350" spans="1:12" s="9" customFormat="1" x14ac:dyDescent="0.25">
      <c r="A350" s="230"/>
      <c r="D350" s="43"/>
      <c r="G350" s="72"/>
      <c r="K350" s="80"/>
      <c r="L350" s="80"/>
    </row>
    <row r="351" spans="1:12" s="9" customFormat="1" x14ac:dyDescent="0.25">
      <c r="A351" s="230"/>
      <c r="D351" s="43"/>
      <c r="G351" s="72"/>
      <c r="K351" s="80"/>
      <c r="L351" s="80"/>
    </row>
    <row r="352" spans="1:12" s="9" customFormat="1" x14ac:dyDescent="0.25">
      <c r="A352" s="230"/>
      <c r="D352" s="43"/>
      <c r="G352" s="72"/>
      <c r="K352" s="80"/>
      <c r="L352" s="80"/>
    </row>
    <row r="353" spans="1:12" s="9" customFormat="1" x14ac:dyDescent="0.25">
      <c r="A353" s="230"/>
      <c r="D353" s="43"/>
      <c r="G353" s="72"/>
      <c r="K353" s="80"/>
      <c r="L353" s="80"/>
    </row>
    <row r="354" spans="1:12" s="9" customFormat="1" x14ac:dyDescent="0.25">
      <c r="A354" s="230"/>
      <c r="D354" s="43"/>
      <c r="G354" s="72"/>
      <c r="K354" s="80"/>
      <c r="L354" s="80"/>
    </row>
    <row r="355" spans="1:12" s="9" customFormat="1" x14ac:dyDescent="0.25">
      <c r="A355" s="230"/>
      <c r="D355" s="43"/>
      <c r="G355" s="72"/>
      <c r="K355" s="80"/>
      <c r="L355" s="80"/>
    </row>
    <row r="356" spans="1:12" s="9" customFormat="1" x14ac:dyDescent="0.25">
      <c r="A356" s="230"/>
      <c r="D356" s="43"/>
      <c r="G356" s="72"/>
      <c r="K356" s="80"/>
      <c r="L356" s="80"/>
    </row>
    <row r="357" spans="1:12" s="9" customFormat="1" x14ac:dyDescent="0.25">
      <c r="A357" s="230"/>
      <c r="D357" s="43"/>
      <c r="G357" s="72"/>
      <c r="K357" s="80"/>
      <c r="L357" s="80"/>
    </row>
    <row r="358" spans="1:12" s="9" customFormat="1" x14ac:dyDescent="0.25">
      <c r="A358" s="230"/>
      <c r="D358" s="43"/>
      <c r="G358" s="72"/>
      <c r="K358" s="80"/>
      <c r="L358" s="80"/>
    </row>
    <row r="359" spans="1:12" s="9" customFormat="1" x14ac:dyDescent="0.25">
      <c r="A359" s="230"/>
      <c r="D359" s="43"/>
      <c r="G359" s="72"/>
      <c r="K359" s="80"/>
      <c r="L359" s="80"/>
    </row>
    <row r="360" spans="1:12" s="9" customFormat="1" x14ac:dyDescent="0.25">
      <c r="A360" s="230"/>
      <c r="D360" s="43"/>
      <c r="G360" s="72"/>
      <c r="K360" s="80"/>
      <c r="L360" s="80"/>
    </row>
    <row r="361" spans="1:12" s="9" customFormat="1" x14ac:dyDescent="0.25">
      <c r="A361" s="230"/>
      <c r="D361" s="43"/>
      <c r="G361" s="72"/>
      <c r="K361" s="80"/>
      <c r="L361" s="80"/>
    </row>
    <row r="362" spans="1:12" s="9" customFormat="1" x14ac:dyDescent="0.25">
      <c r="A362" s="230"/>
      <c r="D362" s="43"/>
      <c r="G362" s="72"/>
      <c r="K362" s="80"/>
      <c r="L362" s="80"/>
    </row>
    <row r="363" spans="1:12" s="9" customFormat="1" x14ac:dyDescent="0.25">
      <c r="A363" s="230"/>
      <c r="D363" s="43"/>
      <c r="G363" s="72"/>
      <c r="K363" s="80"/>
      <c r="L363" s="80"/>
    </row>
    <row r="364" spans="1:12" s="9" customFormat="1" x14ac:dyDescent="0.25">
      <c r="A364" s="230"/>
      <c r="D364" s="43"/>
      <c r="G364" s="72"/>
      <c r="K364" s="80"/>
      <c r="L364" s="80"/>
    </row>
    <row r="365" spans="1:12" s="9" customFormat="1" x14ac:dyDescent="0.25">
      <c r="A365" s="230"/>
      <c r="D365" s="43"/>
      <c r="G365" s="72"/>
      <c r="K365" s="80"/>
      <c r="L365" s="80"/>
    </row>
    <row r="366" spans="1:12" s="9" customFormat="1" x14ac:dyDescent="0.25">
      <c r="A366" s="230"/>
      <c r="D366" s="43"/>
      <c r="G366" s="72"/>
      <c r="K366" s="80"/>
      <c r="L366" s="80"/>
    </row>
    <row r="367" spans="1:12" s="9" customFormat="1" x14ac:dyDescent="0.25">
      <c r="A367" s="230"/>
      <c r="D367" s="43"/>
      <c r="G367" s="72"/>
      <c r="K367" s="80"/>
      <c r="L367" s="80"/>
    </row>
    <row r="368" spans="1:12" s="9" customFormat="1" x14ac:dyDescent="0.25">
      <c r="A368" s="230"/>
      <c r="D368" s="43"/>
      <c r="G368" s="72"/>
      <c r="K368" s="80"/>
      <c r="L368" s="80"/>
    </row>
    <row r="369" spans="1:12" s="9" customFormat="1" x14ac:dyDescent="0.25">
      <c r="A369" s="230"/>
      <c r="D369" s="43"/>
      <c r="G369" s="72"/>
      <c r="K369" s="80"/>
      <c r="L369" s="80"/>
    </row>
    <row r="370" spans="1:12" s="9" customFormat="1" x14ac:dyDescent="0.25">
      <c r="A370" s="230"/>
      <c r="D370" s="43"/>
      <c r="G370" s="72"/>
      <c r="K370" s="80"/>
      <c r="L370" s="80"/>
    </row>
    <row r="371" spans="1:12" s="9" customFormat="1" x14ac:dyDescent="0.25">
      <c r="A371" s="230"/>
      <c r="D371" s="43"/>
      <c r="G371" s="72"/>
      <c r="K371" s="80"/>
      <c r="L371" s="80"/>
    </row>
    <row r="372" spans="1:12" s="9" customFormat="1" x14ac:dyDescent="0.25">
      <c r="A372" s="230"/>
      <c r="D372" s="43"/>
      <c r="G372" s="72"/>
      <c r="K372" s="80"/>
      <c r="L372" s="80"/>
    </row>
    <row r="373" spans="1:12" s="9" customFormat="1" x14ac:dyDescent="0.25">
      <c r="A373" s="230"/>
      <c r="D373" s="43"/>
      <c r="G373" s="72"/>
      <c r="K373" s="80"/>
      <c r="L373" s="80"/>
    </row>
    <row r="374" spans="1:12" s="9" customFormat="1" x14ac:dyDescent="0.25">
      <c r="A374" s="230"/>
      <c r="D374" s="43"/>
      <c r="G374" s="72"/>
      <c r="K374" s="80"/>
      <c r="L374" s="80"/>
    </row>
    <row r="375" spans="1:12" s="9" customFormat="1" x14ac:dyDescent="0.25">
      <c r="A375" s="230"/>
      <c r="D375" s="43"/>
      <c r="G375" s="72"/>
      <c r="K375" s="80"/>
      <c r="L375" s="80"/>
    </row>
    <row r="376" spans="1:12" s="9" customFormat="1" x14ac:dyDescent="0.25">
      <c r="A376" s="230"/>
      <c r="D376" s="43"/>
      <c r="G376" s="72"/>
      <c r="K376" s="80"/>
      <c r="L376" s="80"/>
    </row>
    <row r="377" spans="1:12" s="9" customFormat="1" x14ac:dyDescent="0.25">
      <c r="A377" s="230"/>
      <c r="D377" s="43"/>
      <c r="G377" s="72"/>
      <c r="K377" s="80"/>
      <c r="L377" s="80"/>
    </row>
    <row r="378" spans="1:12" s="9" customFormat="1" x14ac:dyDescent="0.25">
      <c r="A378" s="230"/>
      <c r="D378" s="43"/>
      <c r="G378" s="72"/>
      <c r="K378" s="80"/>
      <c r="L378" s="80"/>
    </row>
    <row r="379" spans="1:12" s="9" customFormat="1" x14ac:dyDescent="0.25">
      <c r="A379" s="230"/>
      <c r="D379" s="43"/>
      <c r="G379" s="72"/>
      <c r="K379" s="80"/>
      <c r="L379" s="80"/>
    </row>
    <row r="380" spans="1:12" s="9" customFormat="1" x14ac:dyDescent="0.25">
      <c r="A380" s="230"/>
      <c r="D380" s="43"/>
      <c r="G380" s="72"/>
      <c r="K380" s="80"/>
      <c r="L380" s="80"/>
    </row>
    <row r="381" spans="1:12" s="9" customFormat="1" x14ac:dyDescent="0.25">
      <c r="A381" s="230"/>
      <c r="D381" s="43"/>
      <c r="G381" s="72"/>
      <c r="K381" s="80"/>
      <c r="L381" s="80"/>
    </row>
    <row r="382" spans="1:12" s="9" customFormat="1" x14ac:dyDescent="0.25">
      <c r="A382" s="230"/>
      <c r="D382" s="43"/>
      <c r="G382" s="72"/>
      <c r="K382" s="80"/>
      <c r="L382" s="80"/>
    </row>
    <row r="383" spans="1:12" s="9" customFormat="1" x14ac:dyDescent="0.25">
      <c r="A383" s="230"/>
      <c r="D383" s="43"/>
      <c r="G383" s="72"/>
      <c r="K383" s="80"/>
      <c r="L383" s="80"/>
    </row>
    <row r="384" spans="1:12" s="9" customFormat="1" x14ac:dyDescent="0.25">
      <c r="A384" s="230"/>
      <c r="D384" s="43"/>
      <c r="G384" s="72"/>
      <c r="K384" s="80"/>
      <c r="L384" s="80"/>
    </row>
    <row r="385" spans="1:12" s="9" customFormat="1" x14ac:dyDescent="0.25">
      <c r="A385" s="230"/>
      <c r="D385" s="43"/>
      <c r="G385" s="72"/>
      <c r="K385" s="80"/>
      <c r="L385" s="80"/>
    </row>
    <row r="386" spans="1:12" s="9" customFormat="1" x14ac:dyDescent="0.25">
      <c r="A386" s="230"/>
      <c r="D386" s="43"/>
      <c r="G386" s="72"/>
      <c r="K386" s="80"/>
      <c r="L386" s="80"/>
    </row>
    <row r="387" spans="1:12" s="9" customFormat="1" x14ac:dyDescent="0.25">
      <c r="A387" s="230"/>
      <c r="D387" s="43"/>
      <c r="G387" s="72"/>
      <c r="K387" s="80"/>
      <c r="L387" s="80"/>
    </row>
    <row r="388" spans="1:12" s="9" customFormat="1" x14ac:dyDescent="0.25">
      <c r="A388" s="230"/>
      <c r="D388" s="43"/>
      <c r="G388" s="72"/>
      <c r="K388" s="80"/>
      <c r="L388" s="80"/>
    </row>
    <row r="389" spans="1:12" s="9" customFormat="1" x14ac:dyDescent="0.25">
      <c r="A389" s="230"/>
      <c r="D389" s="43"/>
      <c r="G389" s="72"/>
      <c r="K389" s="80"/>
      <c r="L389" s="80"/>
    </row>
    <row r="390" spans="1:12" s="9" customFormat="1" x14ac:dyDescent="0.25">
      <c r="A390" s="230"/>
      <c r="D390" s="43"/>
      <c r="G390" s="72"/>
      <c r="K390" s="80"/>
      <c r="L390" s="80"/>
    </row>
    <row r="391" spans="1:12" s="9" customFormat="1" x14ac:dyDescent="0.25">
      <c r="A391" s="230"/>
      <c r="D391" s="43"/>
      <c r="G391" s="72"/>
      <c r="K391" s="80"/>
      <c r="L391" s="80"/>
    </row>
    <row r="392" spans="1:12" s="9" customFormat="1" x14ac:dyDescent="0.25">
      <c r="A392" s="230"/>
      <c r="D392" s="43"/>
      <c r="G392" s="72"/>
      <c r="K392" s="80"/>
      <c r="L392" s="80"/>
    </row>
    <row r="393" spans="1:12" s="9" customFormat="1" x14ac:dyDescent="0.25">
      <c r="A393" s="230"/>
      <c r="D393" s="43"/>
      <c r="G393" s="72"/>
      <c r="K393" s="80"/>
      <c r="L393" s="80"/>
    </row>
    <row r="394" spans="1:12" s="9" customFormat="1" x14ac:dyDescent="0.25">
      <c r="A394" s="230"/>
      <c r="D394" s="43"/>
      <c r="G394" s="72"/>
      <c r="K394" s="80"/>
      <c r="L394" s="80"/>
    </row>
    <row r="395" spans="1:12" s="9" customFormat="1" x14ac:dyDescent="0.25">
      <c r="A395" s="230"/>
      <c r="D395" s="43"/>
      <c r="G395" s="72"/>
      <c r="K395" s="80"/>
      <c r="L395" s="80"/>
    </row>
    <row r="396" spans="1:12" s="9" customFormat="1" x14ac:dyDescent="0.25">
      <c r="A396" s="230"/>
      <c r="D396" s="43"/>
      <c r="G396" s="72"/>
      <c r="K396" s="80"/>
      <c r="L396" s="80"/>
    </row>
    <row r="397" spans="1:12" s="9" customFormat="1" x14ac:dyDescent="0.25">
      <c r="A397" s="230"/>
      <c r="D397" s="43"/>
      <c r="G397" s="72"/>
      <c r="K397" s="80"/>
      <c r="L397" s="80"/>
    </row>
    <row r="398" spans="1:12" s="9" customFormat="1" x14ac:dyDescent="0.25">
      <c r="A398" s="230"/>
      <c r="D398" s="43"/>
      <c r="G398" s="72"/>
      <c r="K398" s="80"/>
      <c r="L398" s="80"/>
    </row>
    <row r="399" spans="1:12" s="9" customFormat="1" x14ac:dyDescent="0.25">
      <c r="A399" s="230"/>
      <c r="D399" s="43"/>
      <c r="G399" s="72"/>
      <c r="K399" s="80"/>
      <c r="L399" s="80"/>
    </row>
    <row r="400" spans="1:12" s="9" customFormat="1" x14ac:dyDescent="0.25">
      <c r="A400" s="230"/>
      <c r="D400" s="43"/>
      <c r="G400" s="72"/>
      <c r="K400" s="80"/>
      <c r="L400" s="80"/>
    </row>
    <row r="401" spans="1:12" s="9" customFormat="1" x14ac:dyDescent="0.25">
      <c r="A401" s="230"/>
      <c r="G401" s="72"/>
      <c r="K401" s="80"/>
      <c r="L401" s="80"/>
    </row>
    <row r="402" spans="1:12" s="9" customFormat="1" x14ac:dyDescent="0.25">
      <c r="A402" s="230"/>
      <c r="G402" s="72"/>
      <c r="K402" s="80"/>
      <c r="L402" s="80"/>
    </row>
    <row r="403" spans="1:12" s="9" customFormat="1" x14ac:dyDescent="0.25">
      <c r="A403" s="230"/>
      <c r="D403" s="224"/>
      <c r="G403" s="72"/>
    </row>
    <row r="404" spans="1:12" s="9" customFormat="1" x14ac:dyDescent="0.25">
      <c r="A404" s="225"/>
      <c r="G404" s="72"/>
    </row>
    <row r="405" spans="1:12" s="9" customFormat="1" x14ac:dyDescent="0.25">
      <c r="A405" s="225"/>
      <c r="G405" s="72"/>
    </row>
    <row r="406" spans="1:12" s="9" customFormat="1" x14ac:dyDescent="0.25">
      <c r="A406" s="225"/>
      <c r="G406" s="72"/>
    </row>
    <row r="407" spans="1:12" s="9" customFormat="1" x14ac:dyDescent="0.25">
      <c r="A407" s="225"/>
      <c r="G407" s="72"/>
    </row>
    <row r="408" spans="1:12" s="9" customFormat="1" x14ac:dyDescent="0.25">
      <c r="A408" s="226"/>
      <c r="G408" s="72"/>
    </row>
    <row r="409" spans="1:12" s="9" customFormat="1" x14ac:dyDescent="0.25">
      <c r="A409" s="225"/>
      <c r="G409" s="72"/>
    </row>
    <row r="410" spans="1:12" s="9" customFormat="1" x14ac:dyDescent="0.25">
      <c r="A410" s="22"/>
      <c r="G410" s="72"/>
    </row>
    <row r="411" spans="1:12" s="9" customFormat="1" x14ac:dyDescent="0.25">
      <c r="A411" s="230"/>
      <c r="G411" s="72"/>
    </row>
    <row r="412" spans="1:12" s="9" customFormat="1" x14ac:dyDescent="0.25">
      <c r="A412" s="225"/>
      <c r="G412" s="72"/>
    </row>
    <row r="413" spans="1:12" s="9" customFormat="1" x14ac:dyDescent="0.25">
      <c r="A413" s="226"/>
      <c r="G413" s="72"/>
    </row>
    <row r="414" spans="1:12" s="9" customFormat="1" x14ac:dyDescent="0.25">
      <c r="A414" s="226"/>
      <c r="G414" s="72"/>
    </row>
    <row r="415" spans="1:12" s="9" customFormat="1" x14ac:dyDescent="0.25">
      <c r="A415" s="225"/>
      <c r="G415" s="72"/>
    </row>
    <row r="416" spans="1:12" s="9" customFormat="1" x14ac:dyDescent="0.25">
      <c r="A416" s="225"/>
      <c r="G416" s="72"/>
    </row>
    <row r="417" spans="1:7" s="9" customFormat="1" x14ac:dyDescent="0.25">
      <c r="A417" s="226"/>
      <c r="G417" s="72"/>
    </row>
    <row r="418" spans="1:7" s="9" customFormat="1" x14ac:dyDescent="0.25">
      <c r="A418" s="226"/>
      <c r="G418" s="72"/>
    </row>
    <row r="419" spans="1:7" s="9" customFormat="1" x14ac:dyDescent="0.25">
      <c r="A419" s="226"/>
      <c r="G419" s="72"/>
    </row>
    <row r="420" spans="1:7" s="9" customFormat="1" x14ac:dyDescent="0.25">
      <c r="A420" s="226"/>
      <c r="G420" s="72"/>
    </row>
    <row r="421" spans="1:7" s="9" customFormat="1" x14ac:dyDescent="0.25">
      <c r="A421" s="230"/>
      <c r="G421" s="72"/>
    </row>
    <row r="422" spans="1:7" s="9" customFormat="1" x14ac:dyDescent="0.25">
      <c r="A422" s="230"/>
      <c r="G422" s="72"/>
    </row>
    <row r="423" spans="1:7" s="9" customFormat="1" x14ac:dyDescent="0.25">
      <c r="A423" s="226"/>
      <c r="G423" s="72"/>
    </row>
    <row r="424" spans="1:7" s="9" customFormat="1" x14ac:dyDescent="0.25">
      <c r="A424" s="225"/>
      <c r="G424" s="72"/>
    </row>
    <row r="425" spans="1:7" s="9" customFormat="1" x14ac:dyDescent="0.25">
      <c r="A425" s="225"/>
      <c r="G425" s="72"/>
    </row>
    <row r="426" spans="1:7" s="9" customFormat="1" x14ac:dyDescent="0.25">
      <c r="A426" s="226"/>
      <c r="G426" s="72"/>
    </row>
    <row r="427" spans="1:7" s="9" customFormat="1" x14ac:dyDescent="0.25">
      <c r="A427" s="225"/>
      <c r="G427" s="72"/>
    </row>
    <row r="428" spans="1:7" s="9" customFormat="1" x14ac:dyDescent="0.25">
      <c r="A428" s="225"/>
      <c r="G428" s="72"/>
    </row>
    <row r="429" spans="1:7" s="9" customFormat="1" x14ac:dyDescent="0.25">
      <c r="A429" s="225"/>
      <c r="G429" s="72"/>
    </row>
    <row r="430" spans="1:7" s="9" customFormat="1" x14ac:dyDescent="0.25">
      <c r="A430" s="225"/>
      <c r="G430" s="72"/>
    </row>
    <row r="431" spans="1:7" s="9" customFormat="1" x14ac:dyDescent="0.25">
      <c r="A431" s="230"/>
      <c r="G431" s="72"/>
    </row>
    <row r="432" spans="1:7" s="9" customFormat="1" x14ac:dyDescent="0.25">
      <c r="A432" s="226"/>
      <c r="G432" s="72"/>
    </row>
    <row r="433" spans="1:7" s="9" customFormat="1" x14ac:dyDescent="0.25">
      <c r="A433" s="230"/>
      <c r="G433" s="72"/>
    </row>
    <row r="434" spans="1:7" s="9" customFormat="1" x14ac:dyDescent="0.25">
      <c r="A434" s="225"/>
      <c r="G434" s="72"/>
    </row>
    <row r="435" spans="1:7" s="9" customFormat="1" x14ac:dyDescent="0.25">
      <c r="A435" s="225"/>
      <c r="G435" s="72"/>
    </row>
    <row r="436" spans="1:7" s="9" customFormat="1" x14ac:dyDescent="0.25">
      <c r="A436" s="230"/>
      <c r="G436" s="72"/>
    </row>
    <row r="437" spans="1:7" s="9" customFormat="1" x14ac:dyDescent="0.25">
      <c r="A437" s="225"/>
      <c r="G437" s="72"/>
    </row>
    <row r="438" spans="1:7" s="9" customFormat="1" x14ac:dyDescent="0.25">
      <c r="A438" s="230"/>
      <c r="G438" s="72"/>
    </row>
    <row r="439" spans="1:7" s="9" customFormat="1" x14ac:dyDescent="0.25">
      <c r="A439" s="225"/>
      <c r="G439" s="72"/>
    </row>
    <row r="440" spans="1:7" s="9" customFormat="1" x14ac:dyDescent="0.25">
      <c r="A440" s="225"/>
      <c r="G440" s="72"/>
    </row>
    <row r="441" spans="1:7" s="9" customFormat="1" x14ac:dyDescent="0.25">
      <c r="A441" s="225"/>
      <c r="G441" s="72"/>
    </row>
    <row r="442" spans="1:7" s="9" customFormat="1" x14ac:dyDescent="0.25">
      <c r="A442" s="226"/>
      <c r="G442" s="72"/>
    </row>
    <row r="443" spans="1:7" s="9" customFormat="1" x14ac:dyDescent="0.25">
      <c r="A443" s="225"/>
      <c r="G443" s="72"/>
    </row>
    <row r="444" spans="1:7" s="9" customFormat="1" x14ac:dyDescent="0.25">
      <c r="A444" s="225"/>
      <c r="G444" s="72"/>
    </row>
    <row r="445" spans="1:7" s="9" customFormat="1" x14ac:dyDescent="0.25">
      <c r="A445" s="225"/>
      <c r="G445" s="72"/>
    </row>
    <row r="446" spans="1:7" s="9" customFormat="1" x14ac:dyDescent="0.25">
      <c r="A446" s="230"/>
      <c r="G446" s="72"/>
    </row>
    <row r="447" spans="1:7" s="9" customFormat="1" x14ac:dyDescent="0.25">
      <c r="A447" s="226"/>
      <c r="G447" s="72"/>
    </row>
    <row r="448" spans="1:7" s="9" customFormat="1" x14ac:dyDescent="0.25">
      <c r="A448" s="230"/>
      <c r="G448" s="72"/>
    </row>
    <row r="449" spans="1:7" s="9" customFormat="1" x14ac:dyDescent="0.25">
      <c r="A449" s="230"/>
      <c r="E449" s="43"/>
      <c r="G449" s="72"/>
    </row>
    <row r="450" spans="1:7" s="9" customFormat="1" x14ac:dyDescent="0.25">
      <c r="A450" s="225"/>
      <c r="G450" s="72"/>
    </row>
    <row r="451" spans="1:7" s="9" customFormat="1" x14ac:dyDescent="0.25">
      <c r="A451" s="225"/>
      <c r="G451" s="72"/>
    </row>
    <row r="452" spans="1:7" s="9" customFormat="1" x14ac:dyDescent="0.25">
      <c r="A452" s="226"/>
      <c r="G452" s="72"/>
    </row>
    <row r="453" spans="1:7" s="9" customFormat="1" x14ac:dyDescent="0.25">
      <c r="A453" s="225"/>
      <c r="G453" s="72"/>
    </row>
    <row r="454" spans="1:7" s="9" customFormat="1" x14ac:dyDescent="0.25">
      <c r="A454" s="226"/>
      <c r="G454" s="72"/>
    </row>
    <row r="455" spans="1:7" s="9" customFormat="1" x14ac:dyDescent="0.25">
      <c r="A455" s="230"/>
      <c r="G455" s="72"/>
    </row>
    <row r="456" spans="1:7" s="9" customFormat="1" x14ac:dyDescent="0.25">
      <c r="A456" s="226"/>
      <c r="G456" s="72"/>
    </row>
    <row r="457" spans="1:7" s="9" customFormat="1" x14ac:dyDescent="0.25">
      <c r="A457" s="225"/>
      <c r="G457" s="72"/>
    </row>
    <row r="458" spans="1:7" s="9" customFormat="1" x14ac:dyDescent="0.25">
      <c r="A458" s="226"/>
      <c r="G458" s="72"/>
    </row>
    <row r="459" spans="1:7" s="9" customFormat="1" x14ac:dyDescent="0.25">
      <c r="A459" s="226"/>
      <c r="G459" s="72"/>
    </row>
    <row r="460" spans="1:7" s="9" customFormat="1" x14ac:dyDescent="0.25">
      <c r="A460" s="225"/>
      <c r="G460" s="72"/>
    </row>
    <row r="461" spans="1:7" s="9" customFormat="1" x14ac:dyDescent="0.25">
      <c r="A461" s="225"/>
      <c r="G461" s="72"/>
    </row>
    <row r="462" spans="1:7" s="9" customFormat="1" x14ac:dyDescent="0.25">
      <c r="A462" s="230"/>
      <c r="G462" s="72"/>
    </row>
    <row r="463" spans="1:7" s="9" customFormat="1" x14ac:dyDescent="0.25">
      <c r="A463" s="226"/>
      <c r="G463" s="72"/>
    </row>
    <row r="464" spans="1:7" s="9" customFormat="1" x14ac:dyDescent="0.25">
      <c r="A464" s="225"/>
      <c r="G464" s="72"/>
    </row>
    <row r="465" spans="1:7" s="9" customFormat="1" x14ac:dyDescent="0.25">
      <c r="A465" s="225"/>
      <c r="G465" s="72"/>
    </row>
    <row r="466" spans="1:7" s="9" customFormat="1" x14ac:dyDescent="0.25">
      <c r="A466" s="225"/>
      <c r="G466" s="72"/>
    </row>
    <row r="467" spans="1:7" s="9" customFormat="1" x14ac:dyDescent="0.25">
      <c r="A467" s="230"/>
      <c r="G467" s="72"/>
    </row>
    <row r="468" spans="1:7" s="9" customFormat="1" x14ac:dyDescent="0.25">
      <c r="A468" s="225"/>
      <c r="G468" s="72"/>
    </row>
    <row r="469" spans="1:7" s="9" customFormat="1" x14ac:dyDescent="0.25">
      <c r="A469" s="230"/>
      <c r="G469" s="72"/>
    </row>
    <row r="470" spans="1:7" s="9" customFormat="1" x14ac:dyDescent="0.25">
      <c r="A470" s="230"/>
      <c r="G470" s="72"/>
    </row>
    <row r="471" spans="1:7" s="9" customFormat="1" x14ac:dyDescent="0.25">
      <c r="A471" s="230"/>
      <c r="E471" s="43"/>
      <c r="G471" s="72"/>
    </row>
    <row r="472" spans="1:7" s="9" customFormat="1" x14ac:dyDescent="0.25">
      <c r="A472" s="226"/>
      <c r="G472" s="72"/>
    </row>
    <row r="473" spans="1:7" s="9" customFormat="1" x14ac:dyDescent="0.25">
      <c r="A473" s="230"/>
      <c r="G473" s="72"/>
    </row>
    <row r="474" spans="1:7" s="9" customFormat="1" x14ac:dyDescent="0.25">
      <c r="A474" s="226"/>
      <c r="G474" s="72"/>
    </row>
    <row r="475" spans="1:7" s="9" customFormat="1" x14ac:dyDescent="0.25">
      <c r="A475" s="230"/>
      <c r="E475" s="43"/>
      <c r="G475" s="72"/>
    </row>
    <row r="476" spans="1:7" s="9" customFormat="1" x14ac:dyDescent="0.25">
      <c r="A476" s="22"/>
      <c r="G476" s="72"/>
    </row>
    <row r="477" spans="1:7" s="9" customFormat="1" x14ac:dyDescent="0.25">
      <c r="A477" s="226"/>
      <c r="G477" s="72"/>
    </row>
    <row r="478" spans="1:7" s="9" customFormat="1" x14ac:dyDescent="0.25">
      <c r="A478" s="226"/>
      <c r="G478" s="72"/>
    </row>
    <row r="479" spans="1:7" s="9" customFormat="1" x14ac:dyDescent="0.25">
      <c r="A479" s="225"/>
      <c r="G479" s="72"/>
    </row>
    <row r="480" spans="1:7" s="9" customFormat="1" x14ac:dyDescent="0.25">
      <c r="A480" s="226"/>
      <c r="G480" s="72"/>
    </row>
    <row r="481" spans="1:7" s="9" customFormat="1" x14ac:dyDescent="0.25">
      <c r="A481" s="225"/>
      <c r="G481" s="72"/>
    </row>
    <row r="482" spans="1:7" s="9" customFormat="1" x14ac:dyDescent="0.25">
      <c r="A482" s="225"/>
      <c r="G482" s="72"/>
    </row>
    <row r="483" spans="1:7" s="9" customFormat="1" x14ac:dyDescent="0.25">
      <c r="A483" s="226"/>
      <c r="G483" s="72"/>
    </row>
    <row r="484" spans="1:7" s="9" customFormat="1" x14ac:dyDescent="0.25">
      <c r="A484" s="225"/>
      <c r="G484" s="72"/>
    </row>
    <row r="485" spans="1:7" s="9" customFormat="1" x14ac:dyDescent="0.25">
      <c r="A485" s="230"/>
      <c r="G485" s="72"/>
    </row>
    <row r="486" spans="1:7" s="9" customFormat="1" x14ac:dyDescent="0.25">
      <c r="A486" s="225"/>
      <c r="G486" s="72"/>
    </row>
    <row r="487" spans="1:7" s="9" customFormat="1" x14ac:dyDescent="0.25">
      <c r="A487" s="225"/>
      <c r="G487" s="72"/>
    </row>
    <row r="488" spans="1:7" s="9" customFormat="1" x14ac:dyDescent="0.25">
      <c r="A488" s="225"/>
      <c r="G488" s="72"/>
    </row>
    <row r="489" spans="1:7" s="9" customFormat="1" x14ac:dyDescent="0.25">
      <c r="A489" s="225"/>
      <c r="G489" s="72"/>
    </row>
    <row r="490" spans="1:7" s="9" customFormat="1" x14ac:dyDescent="0.25">
      <c r="A490" s="225"/>
      <c r="E490" s="43"/>
      <c r="G490" s="72"/>
    </row>
    <row r="491" spans="1:7" s="9" customFormat="1" x14ac:dyDescent="0.25">
      <c r="A491" s="226"/>
      <c r="G491" s="72"/>
    </row>
    <row r="492" spans="1:7" s="9" customFormat="1" x14ac:dyDescent="0.25">
      <c r="A492" s="225"/>
      <c r="G492" s="72"/>
    </row>
    <row r="493" spans="1:7" s="9" customFormat="1" x14ac:dyDescent="0.25">
      <c r="A493" s="226"/>
      <c r="G493" s="72"/>
    </row>
    <row r="494" spans="1:7" s="9" customFormat="1" x14ac:dyDescent="0.25">
      <c r="A494" s="225"/>
      <c r="G494" s="72"/>
    </row>
    <row r="495" spans="1:7" s="9" customFormat="1" x14ac:dyDescent="0.25">
      <c r="A495" s="225"/>
      <c r="G495" s="72"/>
    </row>
    <row r="496" spans="1:7" s="9" customFormat="1" x14ac:dyDescent="0.25">
      <c r="A496" s="225"/>
      <c r="G496" s="72"/>
    </row>
    <row r="497" spans="1:7" s="9" customFormat="1" x14ac:dyDescent="0.25">
      <c r="A497" s="225"/>
      <c r="G497" s="72"/>
    </row>
    <row r="498" spans="1:7" s="9" customFormat="1" x14ac:dyDescent="0.25">
      <c r="A498" s="225"/>
      <c r="G498" s="72"/>
    </row>
    <row r="499" spans="1:7" s="9" customFormat="1" x14ac:dyDescent="0.25">
      <c r="A499" s="225"/>
      <c r="G499" s="72"/>
    </row>
    <row r="500" spans="1:7" s="9" customFormat="1" x14ac:dyDescent="0.25">
      <c r="A500" s="225"/>
      <c r="G500" s="72"/>
    </row>
    <row r="501" spans="1:7" s="9" customFormat="1" x14ac:dyDescent="0.25">
      <c r="A501" s="225"/>
      <c r="G501" s="72"/>
    </row>
    <row r="502" spans="1:7" s="9" customFormat="1" x14ac:dyDescent="0.25">
      <c r="A502" s="226"/>
      <c r="G502" s="72"/>
    </row>
    <row r="503" spans="1:7" s="9" customFormat="1" x14ac:dyDescent="0.25">
      <c r="A503" s="225"/>
      <c r="G503" s="72"/>
    </row>
    <row r="504" spans="1:7" s="9" customFormat="1" x14ac:dyDescent="0.25">
      <c r="A504" s="226"/>
      <c r="G504" s="72"/>
    </row>
    <row r="505" spans="1:7" s="9" customFormat="1" x14ac:dyDescent="0.25">
      <c r="A505" s="226"/>
      <c r="G505" s="72"/>
    </row>
    <row r="506" spans="1:7" s="9" customFormat="1" x14ac:dyDescent="0.25">
      <c r="A506" s="225"/>
      <c r="G506" s="72"/>
    </row>
    <row r="507" spans="1:7" s="9" customFormat="1" x14ac:dyDescent="0.25">
      <c r="A507" s="226"/>
      <c r="G507" s="72"/>
    </row>
    <row r="508" spans="1:7" s="9" customFormat="1" x14ac:dyDescent="0.25">
      <c r="A508" s="226"/>
      <c r="G508" s="72"/>
    </row>
    <row r="509" spans="1:7" s="9" customFormat="1" x14ac:dyDescent="0.25">
      <c r="A509" s="225"/>
      <c r="G509" s="72"/>
    </row>
    <row r="510" spans="1:7" s="9" customFormat="1" x14ac:dyDescent="0.25">
      <c r="A510" s="225"/>
      <c r="G510" s="72"/>
    </row>
    <row r="511" spans="1:7" s="9" customFormat="1" x14ac:dyDescent="0.25">
      <c r="A511" s="226"/>
      <c r="G511" s="72"/>
    </row>
    <row r="512" spans="1:7" s="9" customFormat="1" x14ac:dyDescent="0.25">
      <c r="A512" s="226"/>
      <c r="G512" s="72"/>
    </row>
    <row r="513" spans="1:7" s="9" customFormat="1" x14ac:dyDescent="0.25">
      <c r="A513" s="225"/>
      <c r="G513" s="72"/>
    </row>
    <row r="514" spans="1:7" s="9" customFormat="1" x14ac:dyDescent="0.25">
      <c r="A514" s="225"/>
      <c r="G514" s="72"/>
    </row>
    <row r="515" spans="1:7" s="9" customFormat="1" x14ac:dyDescent="0.25">
      <c r="A515" s="226"/>
      <c r="G515" s="72"/>
    </row>
    <row r="516" spans="1:7" s="9" customFormat="1" x14ac:dyDescent="0.25">
      <c r="A516" s="225"/>
      <c r="G516" s="72"/>
    </row>
    <row r="517" spans="1:7" s="9" customFormat="1" x14ac:dyDescent="0.25">
      <c r="A517" s="225"/>
      <c r="G517" s="72"/>
    </row>
    <row r="518" spans="1:7" s="9" customFormat="1" x14ac:dyDescent="0.25">
      <c r="A518" s="226"/>
      <c r="G518" s="72"/>
    </row>
    <row r="519" spans="1:7" s="9" customFormat="1" x14ac:dyDescent="0.25">
      <c r="A519" s="225"/>
      <c r="G519" s="72"/>
    </row>
    <row r="520" spans="1:7" s="9" customFormat="1" x14ac:dyDescent="0.25">
      <c r="A520" s="226"/>
      <c r="G520" s="72"/>
    </row>
    <row r="521" spans="1:7" s="9" customFormat="1" x14ac:dyDescent="0.25">
      <c r="A521" s="227"/>
      <c r="G521" s="72"/>
    </row>
    <row r="522" spans="1:7" s="9" customFormat="1" x14ac:dyDescent="0.25">
      <c r="A522" s="226"/>
      <c r="G522" s="72"/>
    </row>
    <row r="523" spans="1:7" s="9" customFormat="1" x14ac:dyDescent="0.25">
      <c r="A523" s="225"/>
      <c r="G523" s="72"/>
    </row>
    <row r="524" spans="1:7" s="9" customFormat="1" x14ac:dyDescent="0.25">
      <c r="A524" s="225"/>
      <c r="G524" s="72"/>
    </row>
    <row r="525" spans="1:7" s="9" customFormat="1" x14ac:dyDescent="0.25">
      <c r="A525" s="225"/>
      <c r="G525" s="72"/>
    </row>
    <row r="526" spans="1:7" s="9" customFormat="1" x14ac:dyDescent="0.25">
      <c r="A526" s="225"/>
      <c r="G526" s="72"/>
    </row>
    <row r="527" spans="1:7" s="9" customFormat="1" x14ac:dyDescent="0.25">
      <c r="A527" s="226"/>
      <c r="G527" s="72"/>
    </row>
    <row r="528" spans="1:7" s="9" customFormat="1" x14ac:dyDescent="0.25">
      <c r="A528" s="226"/>
      <c r="G528" s="72"/>
    </row>
    <row r="529" spans="1:7" s="9" customFormat="1" x14ac:dyDescent="0.25">
      <c r="A529" s="225"/>
      <c r="G529" s="72"/>
    </row>
    <row r="530" spans="1:7" s="9" customFormat="1" x14ac:dyDescent="0.25">
      <c r="A530" s="226"/>
      <c r="G530" s="72"/>
    </row>
    <row r="531" spans="1:7" s="9" customFormat="1" x14ac:dyDescent="0.25">
      <c r="A531" s="225"/>
      <c r="G531" s="72"/>
    </row>
    <row r="532" spans="1:7" s="9" customFormat="1" x14ac:dyDescent="0.25">
      <c r="A532" s="225"/>
      <c r="G532" s="72"/>
    </row>
    <row r="533" spans="1:7" s="9" customFormat="1" x14ac:dyDescent="0.25">
      <c r="A533" s="225"/>
      <c r="G533" s="72"/>
    </row>
    <row r="534" spans="1:7" s="9" customFormat="1" x14ac:dyDescent="0.25">
      <c r="A534" s="225"/>
      <c r="G534" s="72"/>
    </row>
    <row r="535" spans="1:7" s="9" customFormat="1" x14ac:dyDescent="0.25">
      <c r="A535" s="225"/>
      <c r="G535" s="72"/>
    </row>
    <row r="536" spans="1:7" s="9" customFormat="1" x14ac:dyDescent="0.25">
      <c r="A536" s="225"/>
      <c r="G536" s="72"/>
    </row>
    <row r="537" spans="1:7" s="9" customFormat="1" x14ac:dyDescent="0.25">
      <c r="A537" s="225"/>
      <c r="G537" s="72"/>
    </row>
    <row r="538" spans="1:7" s="9" customFormat="1" x14ac:dyDescent="0.25">
      <c r="A538" s="225"/>
      <c r="G538" s="72"/>
    </row>
    <row r="539" spans="1:7" s="9" customFormat="1" x14ac:dyDescent="0.25">
      <c r="A539" s="225"/>
      <c r="G539" s="72"/>
    </row>
    <row r="540" spans="1:7" s="9" customFormat="1" x14ac:dyDescent="0.25">
      <c r="A540" s="225"/>
      <c r="G540" s="72"/>
    </row>
    <row r="541" spans="1:7" s="9" customFormat="1" x14ac:dyDescent="0.25">
      <c r="A541" s="225"/>
      <c r="G541" s="72"/>
    </row>
    <row r="542" spans="1:7" s="9" customFormat="1" x14ac:dyDescent="0.25">
      <c r="A542" s="226"/>
      <c r="G542" s="72"/>
    </row>
    <row r="543" spans="1:7" s="9" customFormat="1" x14ac:dyDescent="0.25">
      <c r="A543" s="225"/>
      <c r="G543" s="72"/>
    </row>
    <row r="544" spans="1:7" s="9" customFormat="1" x14ac:dyDescent="0.25">
      <c r="A544" s="225"/>
      <c r="G544" s="72"/>
    </row>
    <row r="545" spans="1:12" s="9" customFormat="1" x14ac:dyDescent="0.25">
      <c r="A545" s="226"/>
      <c r="G545" s="72"/>
    </row>
    <row r="546" spans="1:12" s="9" customFormat="1" x14ac:dyDescent="0.25">
      <c r="A546" s="225"/>
      <c r="G546" s="72"/>
    </row>
    <row r="547" spans="1:12" s="9" customFormat="1" x14ac:dyDescent="0.25">
      <c r="A547" s="225"/>
      <c r="G547" s="72"/>
    </row>
    <row r="548" spans="1:12" s="9" customFormat="1" x14ac:dyDescent="0.25">
      <c r="A548" s="225"/>
      <c r="G548" s="72"/>
    </row>
    <row r="549" spans="1:12" s="9" customFormat="1" x14ac:dyDescent="0.25">
      <c r="A549" s="225"/>
      <c r="G549" s="72"/>
    </row>
    <row r="550" spans="1:12" s="9" customFormat="1" x14ac:dyDescent="0.25">
      <c r="A550" s="225"/>
      <c r="G550" s="72"/>
    </row>
    <row r="551" spans="1:12" s="9" customFormat="1" x14ac:dyDescent="0.25">
      <c r="A551" s="226"/>
      <c r="G551" s="72"/>
    </row>
    <row r="552" spans="1:12" s="9" customFormat="1" x14ac:dyDescent="0.25">
      <c r="A552" s="225"/>
      <c r="G552" s="72"/>
    </row>
    <row r="553" spans="1:12" s="9" customFormat="1" x14ac:dyDescent="0.25">
      <c r="A553" s="225"/>
      <c r="G553" s="72"/>
    </row>
    <row r="554" spans="1:12" s="9" customFormat="1" x14ac:dyDescent="0.25">
      <c r="A554" s="230"/>
      <c r="G554" s="72"/>
      <c r="K554" s="80"/>
      <c r="L554" s="80"/>
    </row>
    <row r="555" spans="1:12" s="9" customFormat="1" x14ac:dyDescent="0.25">
      <c r="A555" s="230"/>
      <c r="G555" s="72"/>
      <c r="K555" s="80"/>
      <c r="L555" s="80"/>
    </row>
  </sheetData>
  <conditionalFormatting sqref="M222:M223 L213 O7">
    <cfRule type="cellIs" dxfId="1" priority="2" operator="equal">
      <formula>"POSTGRAD"</formula>
    </cfRule>
  </conditionalFormatting>
  <conditionalFormatting sqref="K194:K203 J3:J193">
    <cfRule type="cellIs" dxfId="0" priority="1" operator="equal">
      <formula>1</formula>
    </cfRule>
  </conditionalFormatting>
  <hyperlinks>
    <hyperlink ref="A3" r:id="rId1" display="http://www.abdn.ac.uk/" xr:uid="{00000000-0004-0000-0500-000000000000}"/>
    <hyperlink ref="A4" r:id="rId2" display="http://www.abertay.ac.uk/" xr:uid="{00000000-0004-0000-0500-000001000000}"/>
    <hyperlink ref="A5" r:id="rId3" display="http://www.aber.ac.uk/" xr:uid="{00000000-0004-0000-0500-000002000000}"/>
    <hyperlink ref="A6" r:id="rId4" display="http://www.anglia.ac.uk/" xr:uid="{00000000-0004-0000-0500-000003000000}"/>
    <hyperlink ref="A7" r:id="rId5" display="http://www.aecc.ac.uk/" xr:uid="{00000000-0004-0000-0500-000004000000}"/>
    <hyperlink ref="A8" r:id="rId6" display="http://www.archbishopofcanterbury.org/" xr:uid="{00000000-0004-0000-0500-000005000000}"/>
    <hyperlink ref="A9" r:id="rId7" display="http://www.arden.ac.uk/" xr:uid="{00000000-0004-0000-0500-000006000000}"/>
    <hyperlink ref="A10" r:id="rId8" display="http://www.ashridge.org.uk/" xr:uid="{00000000-0004-0000-0500-000007000000}"/>
    <hyperlink ref="A11" r:id="rId9" display="http://www.aston.ac.uk/" xr:uid="{00000000-0004-0000-0500-000008000000}"/>
    <hyperlink ref="A13" r:id="rId10" display="http://www.bangor.ac.uk/" xr:uid="{00000000-0004-0000-0500-000009000000}"/>
    <hyperlink ref="A14" r:id="rId11" display="http://www.bath.ac.uk/" xr:uid="{00000000-0004-0000-0500-00000A000000}"/>
    <hyperlink ref="A15" r:id="rId12" display="http://www.bathspa.ac.uk/" xr:uid="{00000000-0004-0000-0500-00000B000000}"/>
    <hyperlink ref="A16" r:id="rId13" display="http://www.beds.ac.uk/" xr:uid="{00000000-0004-0000-0500-00000C000000}"/>
    <hyperlink ref="A17" r:id="rId14" display="http://www.bbk.ac.uk/" xr:uid="{00000000-0004-0000-0500-00000D000000}"/>
    <hyperlink ref="A18" r:id="rId15" display="http://www.bham.ac.uk/" xr:uid="{00000000-0004-0000-0500-00000E000000}"/>
    <hyperlink ref="A19" r:id="rId16" display="http://www.bcu.ac.uk/" xr:uid="{00000000-0004-0000-0500-00000F000000}"/>
    <hyperlink ref="A20" r:id="rId17" display="http://www.ucb.ac.uk/" xr:uid="{00000000-0004-0000-0500-000010000000}"/>
    <hyperlink ref="A21" r:id="rId18" display="http://www.bishopg.ac.uk/" xr:uid="{00000000-0004-0000-0500-000011000000}"/>
    <hyperlink ref="A22" r:id="rId19" display="http://www.bolton.ac.uk/" xr:uid="{00000000-0004-0000-0500-000012000000}"/>
    <hyperlink ref="A23" r:id="rId20" display="http://aub.ac.uk/" xr:uid="{00000000-0004-0000-0500-000013000000}"/>
    <hyperlink ref="A24" r:id="rId21" display="http://www.bournemouth.ac.uk/" xr:uid="{00000000-0004-0000-0500-000014000000}"/>
    <hyperlink ref="A25" r:id="rId22" display="http://www.bppuniversity.ac.uk/" xr:uid="{00000000-0004-0000-0500-000015000000}"/>
    <hyperlink ref="A26" r:id="rId23" display="http://www.bradford.ac.uk/" xr:uid="{00000000-0004-0000-0500-000016000000}"/>
    <hyperlink ref="A27" r:id="rId24" display="http://www.brighton.ac.uk/" xr:uid="{00000000-0004-0000-0500-000017000000}"/>
    <hyperlink ref="A28" r:id="rId25" display="http://www.bris.ac.uk/" xr:uid="{00000000-0004-0000-0500-000018000000}"/>
    <hyperlink ref="A29" r:id="rId26" display="http://www.brunel.ac.uk/" xr:uid="{00000000-0004-0000-0500-000019000000}"/>
    <hyperlink ref="A30" r:id="rId27" display="http://www.buckingham.ac.uk/" xr:uid="{00000000-0004-0000-0500-00001A000000}"/>
    <hyperlink ref="A31" r:id="rId28" display="http://bucks.ac.uk/" xr:uid="{00000000-0004-0000-0500-00001B000000}"/>
    <hyperlink ref="A33" r:id="rId29" display="http://www.cam.ac.uk/" xr:uid="{00000000-0004-0000-0500-00001C000000}"/>
    <hyperlink ref="A34" r:id="rId30" display="http://www.canterbury.ac.uk/" xr:uid="{00000000-0004-0000-0500-00001D000000}"/>
    <hyperlink ref="A35" r:id="rId31" display="http://www.cardiffmet.ac.uk/Pages/home.aspx" xr:uid="{00000000-0004-0000-0500-00001E000000}"/>
    <hyperlink ref="A36" r:id="rId32" display="http://www.cf.ac.uk/" xr:uid="{00000000-0004-0000-0500-00001F000000}"/>
    <hyperlink ref="A37" r:id="rId33" display="http://www.chester.ac.uk/" xr:uid="{00000000-0004-0000-0500-000020000000}"/>
    <hyperlink ref="A38" r:id="rId34" display="https://www.chi.ac.uk/" xr:uid="{00000000-0004-0000-0500-000021000000}"/>
    <hyperlink ref="A39" r:id="rId35" display="http://www.city.ac.uk/" xr:uid="{00000000-0004-0000-0500-000022000000}"/>
    <hyperlink ref="A40" r:id="rId36" display="http://www.courtauld.ac.uk/" xr:uid="{00000000-0004-0000-0500-000023000000}"/>
    <hyperlink ref="A41" r:id="rId37" display="http://www.coventry.ac.uk/" xr:uid="{00000000-0004-0000-0500-000024000000}"/>
    <hyperlink ref="A42" r:id="rId38" display="http://www.cranfield.ac.uk/" xr:uid="{00000000-0004-0000-0500-000025000000}"/>
    <hyperlink ref="A43" r:id="rId39" display="http://www.uca.ac.uk/" xr:uid="{00000000-0004-0000-0500-000026000000}"/>
    <hyperlink ref="A44" r:id="rId40" display="http://www.cumbria.ac.uk/" xr:uid="{00000000-0004-0000-0500-000027000000}"/>
    <hyperlink ref="A46" r:id="rId41" display="http://www.dmu.ac.uk/" xr:uid="{00000000-0004-0000-0500-000028000000}"/>
    <hyperlink ref="A47" r:id="rId42" display="http://www.derby.ac.uk/" xr:uid="{00000000-0004-0000-0500-000029000000}"/>
    <hyperlink ref="A48" r:id="rId43" display="http://www.dundee.ac.uk/" xr:uid="{00000000-0004-0000-0500-00002A000000}"/>
    <hyperlink ref="A49" r:id="rId44" display="http://www.dur.ac.uk/" xr:uid="{00000000-0004-0000-0500-00002B000000}"/>
    <hyperlink ref="A51" r:id="rId45" display="http://www.uea.ac.uk/" xr:uid="{00000000-0004-0000-0500-00002C000000}"/>
    <hyperlink ref="A52" r:id="rId46" display="http://www.uel.ac.uk/" xr:uid="{00000000-0004-0000-0500-00002D000000}"/>
    <hyperlink ref="A53" r:id="rId47" display="http://www.edgehill.ac.uk/" xr:uid="{00000000-0004-0000-0500-00002E000000}"/>
    <hyperlink ref="A54" r:id="rId48" display="http://www.ed.ac.uk/" xr:uid="{00000000-0004-0000-0500-00002F000000}"/>
    <hyperlink ref="A55" r:id="rId49" display="http://www.napier.ac.uk/" xr:uid="{00000000-0004-0000-0500-000030000000}"/>
    <hyperlink ref="A56" r:id="rId50" display="http://www.essex.ac.uk/" xr:uid="{00000000-0004-0000-0500-000031000000}"/>
    <hyperlink ref="A57" r:id="rId51" display="http://www.ex.ac.uk/" xr:uid="{00000000-0004-0000-0500-000032000000}"/>
    <hyperlink ref="A59" r:id="rId52" display="http://www.falmouth.ac.uk/" xr:uid="{00000000-0004-0000-0500-000033000000}"/>
    <hyperlink ref="A61" r:id="rId53" display="http://www.gla.ac.uk/" xr:uid="{00000000-0004-0000-0500-000034000000}"/>
    <hyperlink ref="A62" r:id="rId54" display="http://www.gcal.ac.uk/" xr:uid="{00000000-0004-0000-0500-000035000000}"/>
    <hyperlink ref="A63" r:id="rId55" display="http://www.glos.ac.uk/" xr:uid="{00000000-0004-0000-0500-000036000000}"/>
    <hyperlink ref="A64" r:id="rId56" display="http://www.glyndwr.ac.uk/" xr:uid="{00000000-0004-0000-0500-000037000000}"/>
    <hyperlink ref="A65" r:id="rId57" display="http://www.goldsmiths.ac.uk/" xr:uid="{00000000-0004-0000-0500-000038000000}"/>
    <hyperlink ref="A66" r:id="rId58" display="http://www.gre.ac.uk/" xr:uid="{00000000-0004-0000-0500-000039000000}"/>
    <hyperlink ref="A67" r:id="rId59" display="http://www.gsmd.ac.uk/" xr:uid="{00000000-0004-0000-0500-00003A000000}"/>
    <hyperlink ref="A69" r:id="rId60" display="http://www.harper-adams.ac.uk/" xr:uid="{00000000-0004-0000-0500-00003B000000}"/>
    <hyperlink ref="A70" r:id="rId61" display="http://www.hartpury.ac.uk/" xr:uid="{00000000-0004-0000-0500-00003C000000}"/>
    <hyperlink ref="A71" r:id="rId62" display="http://www.hw.ac.uk/" xr:uid="{00000000-0004-0000-0500-00003D000000}"/>
    <hyperlink ref="A72" r:id="rId63" display="http://www.herts.ac.uk/" xr:uid="{00000000-0004-0000-0500-00003E000000}"/>
    <hyperlink ref="A73" r:id="rId64" display="http://www.heythrop.ac.uk/" xr:uid="{00000000-0004-0000-0500-00003F000000}"/>
    <hyperlink ref="A74" r:id="rId65" display="http://www.uhi.ac.uk/" xr:uid="{00000000-0004-0000-0500-000040000000}"/>
    <hyperlink ref="A75" r:id="rId66" display="http://www.hud.ac.uk/" xr:uid="{00000000-0004-0000-0500-000041000000}"/>
    <hyperlink ref="A76" r:id="rId67" display="http://www.hull.ac.uk/" xr:uid="{00000000-0004-0000-0500-000042000000}"/>
    <hyperlink ref="A78" r:id="rId68" display="http://www.ic.ac.uk/" xr:uid="{00000000-0004-0000-0500-000043000000}"/>
    <hyperlink ref="A79" r:id="rId69" display="http://www.icr.ac.uk/" xr:uid="{00000000-0004-0000-0500-000044000000}"/>
    <hyperlink ref="A80" r:id="rId70" display="http://www.ioe.ac.uk/" xr:uid="{00000000-0004-0000-0500-000045000000}"/>
    <hyperlink ref="A82" r:id="rId71" display="http://www.keele.ac.uk/" xr:uid="{00000000-0004-0000-0500-000046000000}"/>
    <hyperlink ref="A85" r:id="rId72" display="http://www.kent.ac.uk/" xr:uid="{00000000-0004-0000-0500-000047000000}"/>
    <hyperlink ref="A83" r:id="rId73" display="http://www.kcl.ac.uk/" xr:uid="{00000000-0004-0000-0500-000048000000}"/>
    <hyperlink ref="A84" r:id="rId74" display="http://www.kingston.ac.uk/" xr:uid="{00000000-0004-0000-0500-000049000000}"/>
    <hyperlink ref="A87" r:id="rId75" display="http://www.uclan.ac.uk/" xr:uid="{00000000-0004-0000-0500-00004A000000}"/>
    <hyperlink ref="A88" r:id="rId76" display="http://www.lancs.ac.uk/" xr:uid="{00000000-0004-0000-0500-00004B000000}"/>
    <hyperlink ref="A89" r:id="rId77" display="http://www.leeds.ac.uk/" xr:uid="{00000000-0004-0000-0500-00004C000000}"/>
    <hyperlink ref="A90" r:id="rId78" display="http://www.lmu.ac.uk/" xr:uid="{00000000-0004-0000-0500-00004D000000}"/>
    <hyperlink ref="A91" r:id="rId79" display="http://www.leeds-art.ac.uk/" xr:uid="{00000000-0004-0000-0500-00004E000000}"/>
    <hyperlink ref="A92" r:id="rId80" display="http://www.leedstrinity.ac.uk/" xr:uid="{00000000-0004-0000-0500-00004F000000}"/>
    <hyperlink ref="A93" r:id="rId81" display="http://www.le.ac.uk/" xr:uid="{00000000-0004-0000-0500-000050000000}"/>
    <hyperlink ref="A94" r:id="rId82" display="http://www.lincoln.ac.uk/" xr:uid="{00000000-0004-0000-0500-000051000000}"/>
    <hyperlink ref="A95" r:id="rId83" display="http://www.liv.ac.uk/" xr:uid="{00000000-0004-0000-0500-000052000000}"/>
    <hyperlink ref="A96" r:id="rId84" display="http://www.hope.ac.uk/" xr:uid="{00000000-0004-0000-0500-000053000000}"/>
    <hyperlink ref="A97" r:id="rId85" display="http://www.ljmu.ac.uk/" xr:uid="{00000000-0004-0000-0500-000054000000}"/>
    <hyperlink ref="A98" r:id="rId86" display="http://www.lstmed.ac.uk/" xr:uid="{00000000-0004-0000-0500-000055000000}"/>
    <hyperlink ref="A99" r:id="rId87" display="http://www.lon.ac.uk/" xr:uid="{00000000-0004-0000-0500-000056000000}"/>
    <hyperlink ref="A100" r:id="rId88" display="http://www.london.edu/" xr:uid="{00000000-0004-0000-0500-000057000000}"/>
    <hyperlink ref="A101" r:id="rId89" display="http://www.libf.ac.uk/" xr:uid="{00000000-0004-0000-0500-000058000000}"/>
    <hyperlink ref="A102" r:id="rId90" display="http://www.londonmet.ac.uk/" xr:uid="{00000000-0004-0000-0500-000059000000}"/>
    <hyperlink ref="A103" r:id="rId91" display="http://www.lshtm.ac.uk/" xr:uid="{00000000-0004-0000-0500-00005A000000}"/>
    <hyperlink ref="A104" r:id="rId92" display="http://www.lse.ac.uk/" xr:uid="{00000000-0004-0000-0500-00005B000000}"/>
    <hyperlink ref="A105" r:id="rId93" display="http://www.lsbu.ac.uk/" xr:uid="{00000000-0004-0000-0500-00005C000000}"/>
    <hyperlink ref="A106" r:id="rId94" display="http://www.ucl.ac.uk/" xr:uid="{00000000-0004-0000-0500-00005D000000}"/>
    <hyperlink ref="A107" r:id="rId95" display="http://www.lboro.ac.uk/" xr:uid="{00000000-0004-0000-0500-00005E000000}"/>
    <hyperlink ref="A109" r:id="rId96" display="http://www.manchester.ac.uk/" xr:uid="{00000000-0004-0000-0500-00005F000000}"/>
    <hyperlink ref="A110" r:id="rId97" display="http://www.mmu.ac.uk/" xr:uid="{00000000-0004-0000-0500-000060000000}"/>
    <hyperlink ref="A111" r:id="rId98" display="http://www.mdx.ac.uk/" xr:uid="{00000000-0004-0000-0500-000061000000}"/>
    <hyperlink ref="A113" r:id="rId99" display="http://www.ncgrp.co.uk/" xr:uid="{00000000-0004-0000-0500-000062000000}"/>
    <hyperlink ref="A114" r:id="rId100" display="http://www.ncl.ac.uk/" xr:uid="{00000000-0004-0000-0500-000063000000}"/>
    <hyperlink ref="A115" r:id="rId101" display="http://www.newman.ac.uk/" xr:uid="{00000000-0004-0000-0500-000064000000}"/>
    <hyperlink ref="A116" r:id="rId102" display="http://www.northampton.ac.uk/" xr:uid="{00000000-0004-0000-0500-000065000000}"/>
    <hyperlink ref="A117" r:id="rId103" display="http://northumbria.ac.uk/" xr:uid="{00000000-0004-0000-0500-000066000000}"/>
    <hyperlink ref="A118" r:id="rId104" display="https://www.nua.ac.uk/" xr:uid="{00000000-0004-0000-0500-000067000000}"/>
    <hyperlink ref="A119" r:id="rId105" display="http://www.nottingham.ac.uk/" xr:uid="{00000000-0004-0000-0500-000068000000}"/>
    <hyperlink ref="A120" r:id="rId106" display="http://www.ntu.ac.uk/" xr:uid="{00000000-0004-0000-0500-000069000000}"/>
    <hyperlink ref="A122" r:id="rId107" display="http://www.open.ac.uk/" xr:uid="{00000000-0004-0000-0500-00006A000000}"/>
    <hyperlink ref="A124" r:id="rId108" display="http://www.ox.ac.uk/" xr:uid="{00000000-0004-0000-0500-00006B000000}"/>
    <hyperlink ref="A123" r:id="rId109" display="http://www.brookes.ac.uk/" xr:uid="{00000000-0004-0000-0500-00006C000000}"/>
    <hyperlink ref="A126" r:id="rId110" display="http://www.plymouth.ac.uk/" xr:uid="{00000000-0004-0000-0500-00006D000000}"/>
    <hyperlink ref="A127" r:id="rId111" display="http://www.port.ac.uk/" xr:uid="{00000000-0004-0000-0500-00006E000000}"/>
    <hyperlink ref="A129" r:id="rId112" display="http://www.qmu.ac.uk/" xr:uid="{00000000-0004-0000-0500-00006F000000}"/>
    <hyperlink ref="A130" r:id="rId113" display="http://www.qmul.ac.uk/" xr:uid="{00000000-0004-0000-0500-000070000000}"/>
    <hyperlink ref="A131" r:id="rId114" display="http://www.qub.ac.uk/" xr:uid="{00000000-0004-0000-0500-000071000000}"/>
    <hyperlink ref="A133" r:id="rId115" display="https://www.ravensbourne.ac.uk/" xr:uid="{00000000-0004-0000-0500-000072000000}"/>
    <hyperlink ref="A134" r:id="rId116" display="http://www.reading.ac.uk/" xr:uid="{00000000-0004-0000-0500-000073000000}"/>
    <hyperlink ref="A135" r:id="rId117" display="http://www.regents.ac.uk/" xr:uid="{00000000-0004-0000-0500-000074000000}"/>
    <hyperlink ref="A136" r:id="rId118" display="https://www.richmond.ac.uk/" xr:uid="{00000000-0004-0000-0500-000075000000}"/>
    <hyperlink ref="A137" r:id="rId119" display="http://www.rgu.ac.uk/" xr:uid="{00000000-0004-0000-0500-000076000000}"/>
    <hyperlink ref="A138" r:id="rId120" display="http://www.roehampton.ac.uk/" xr:uid="{00000000-0004-0000-0500-000077000000}"/>
    <hyperlink ref="A139" r:id="rId121" display="https://www.bruford.ac.uk/" xr:uid="{00000000-0004-0000-0500-000078000000}"/>
    <hyperlink ref="A140" r:id="rId122" display="http://www.ram.ac.uk/" xr:uid="{00000000-0004-0000-0500-000079000000}"/>
    <hyperlink ref="A141" r:id="rId123" display="http://www.rau.ac.uk/" xr:uid="{00000000-0004-0000-0500-00007A000000}"/>
    <hyperlink ref="A142" r:id="rId124" display="http://www.cssd.ac.uk/" xr:uid="{00000000-0004-0000-0500-00007B000000}"/>
    <hyperlink ref="A143" r:id="rId125" display="http://www.rca.ac.uk/" xr:uid="{00000000-0004-0000-0500-00007C000000}"/>
    <hyperlink ref="A144" r:id="rId126" display="http://www.rcm.ac.uk/" xr:uid="{00000000-0004-0000-0500-00007D000000}"/>
    <hyperlink ref="A145" r:id="rId127" display="http://www.rcn.org.uk/" xr:uid="{00000000-0004-0000-0500-00007E000000}"/>
    <hyperlink ref="A146" r:id="rId128" display="http://www.rcs.ac.uk/" xr:uid="{00000000-0004-0000-0500-00007F000000}"/>
    <hyperlink ref="A147" r:id="rId129" display="https://www.royalholloway.ac.uk/home.aspx" xr:uid="{00000000-0004-0000-0500-000080000000}"/>
    <hyperlink ref="A148" r:id="rId130" display="http://www.rncm.ac.uk/" xr:uid="{00000000-0004-0000-0500-000081000000}"/>
    <hyperlink ref="A149" r:id="rId131" display="http://www.rvc.ac.uk/" xr:uid="{00000000-0004-0000-0500-000082000000}"/>
    <hyperlink ref="A151" r:id="rId132" display="http://www.salford.ac.uk/" xr:uid="{00000000-0004-0000-0500-000083000000}"/>
    <hyperlink ref="A152" r:id="rId133" display="http://www.soas.ac.uk/" xr:uid="{00000000-0004-0000-0500-000084000000}"/>
    <hyperlink ref="A153" r:id="rId134" display="http://www.shef.ac.uk/" xr:uid="{00000000-0004-0000-0500-000085000000}"/>
    <hyperlink ref="A154" r:id="rId135" display="http://www.shu.ac.uk/" xr:uid="{00000000-0004-0000-0500-000086000000}"/>
    <hyperlink ref="A155" r:id="rId136" display="http://www.southwales.ac.uk/" xr:uid="{00000000-0004-0000-0500-000087000000}"/>
    <hyperlink ref="A156" r:id="rId137" display="http://www.soton.ac.uk/" xr:uid="{00000000-0004-0000-0500-000088000000}"/>
    <hyperlink ref="A157" r:id="rId138" display="http://www.solent.ac.uk/" xr:uid="{00000000-0004-0000-0500-000089000000}"/>
    <hyperlink ref="A158" r:id="rId139" display="http://www.st-andrews.ac.uk/" xr:uid="{00000000-0004-0000-0500-00008A000000}"/>
    <hyperlink ref="A159" r:id="rId140" display="http://www.sgul.ac.uk/" xr:uid="{00000000-0004-0000-0500-00008B000000}"/>
    <hyperlink ref="A160" r:id="rId141" display="http://www.marjon.ac.uk/" xr:uid="{00000000-0004-0000-0500-00008C000000}"/>
    <hyperlink ref="A161" r:id="rId142" display="http://www.stmarys.ac.uk/" xr:uid="{00000000-0004-0000-0500-00008D000000}"/>
    <hyperlink ref="A162" r:id="rId143" display="http://www.staffs.ac.uk/" xr:uid="{00000000-0004-0000-0500-00008E000000}"/>
    <hyperlink ref="A163" r:id="rId144" display="http://www.external.stir.ac.uk/" xr:uid="{00000000-0004-0000-0500-00008F000000}"/>
    <hyperlink ref="A164" r:id="rId145" display="http://www.strath.ac.uk/" xr:uid="{00000000-0004-0000-0500-000090000000}"/>
    <hyperlink ref="A165" r:id="rId146" display="https://www.uos.ac.uk/" xr:uid="{00000000-0004-0000-0500-000091000000}"/>
    <hyperlink ref="A166" r:id="rId147" display="http://www.sunderland.ac.uk/" xr:uid="{00000000-0004-0000-0500-000092000000}"/>
    <hyperlink ref="A167" r:id="rId148" display="http://www.surrey.ac.uk/" xr:uid="{00000000-0004-0000-0500-000093000000}"/>
    <hyperlink ref="A168" r:id="rId149" display="http://www.sussex.ac.uk/" xr:uid="{00000000-0004-0000-0500-000094000000}"/>
    <hyperlink ref="A169" r:id="rId150" display="http://www.swan.ac.uk/" xr:uid="{00000000-0004-0000-0500-000095000000}"/>
    <hyperlink ref="A171" r:id="rId151" display="http://www.tees.ac.uk/" xr:uid="{00000000-0004-0000-0500-000096000000}"/>
    <hyperlink ref="A172" r:id="rId152" display="http://www.trinitylaban.ac.uk/" xr:uid="{00000000-0004-0000-0500-000097000000}"/>
    <hyperlink ref="A174" r:id="rId153" display="http://www.arts.ac.uk/" xr:uid="{00000000-0004-0000-0500-000098000000}"/>
    <hyperlink ref="A175" r:id="rId154" display="http://www.cem.ac.uk/" xr:uid="{00000000-0004-0000-0500-000099000000}"/>
    <hyperlink ref="A176" r:id="rId155" display="https://www.uco.ac.uk/" xr:uid="{00000000-0004-0000-0500-00009A000000}"/>
    <hyperlink ref="A177" r:id="rId156" display="http://www.law.ac.uk/" xr:uid="{00000000-0004-0000-0500-00009B000000}"/>
    <hyperlink ref="A178" r:id="rId157" display="http://www.ulster.ac.uk/" xr:uid="{00000000-0004-0000-0500-00009C000000}"/>
    <hyperlink ref="A180" r:id="rId158" display="http://www.wales.ac.uk/" xr:uid="{00000000-0004-0000-0500-00009D000000}"/>
    <hyperlink ref="A181" r:id="rId159" display="https://www.uwtsd.ac.uk/" xr:uid="{00000000-0004-0000-0500-00009E000000}"/>
    <hyperlink ref="A182" r:id="rId160" display="http://www2.warwick.ac.uk/" xr:uid="{00000000-0004-0000-0500-00009F000000}"/>
    <hyperlink ref="A183" r:id="rId161" display="http://www.uwe.ac.uk/" xr:uid="{00000000-0004-0000-0500-0000A0000000}"/>
    <hyperlink ref="A184" r:id="rId162" display="http://www.uwl.ac.uk/" xr:uid="{00000000-0004-0000-0500-0000A1000000}"/>
    <hyperlink ref="A185" r:id="rId163" display="http://www.uws.ac.uk/" xr:uid="{00000000-0004-0000-0500-0000A2000000}"/>
    <hyperlink ref="A186" r:id="rId164" display="http://www.westminster.ac.uk/" xr:uid="{00000000-0004-0000-0500-0000A3000000}"/>
    <hyperlink ref="A187" r:id="rId165" display="http://www.winchester.ac.uk/" xr:uid="{00000000-0004-0000-0500-0000A4000000}"/>
    <hyperlink ref="A188" r:id="rId166" display="http://www.wlv.ac.uk/" xr:uid="{00000000-0004-0000-0500-0000A5000000}"/>
    <hyperlink ref="A189" r:id="rId167" display="http://www.worcester.ac.uk/" xr:uid="{00000000-0004-0000-0500-0000A6000000}"/>
    <hyperlink ref="A190" r:id="rId168" display="http://writtle.ac.uk/" xr:uid="{00000000-0004-0000-0500-0000A7000000}"/>
    <hyperlink ref="A192" r:id="rId169" display="http://www.york.ac.uk/" xr:uid="{00000000-0004-0000-0500-0000A8000000}"/>
    <hyperlink ref="A193" r:id="rId170" display="http://www.yorksj.ac.uk/" xr:uid="{00000000-0004-0000-0500-0000A9000000}"/>
    <hyperlink ref="A196" r:id="rId171" display="http://www.blackpool.ac.uk/" xr:uid="{00000000-0004-0000-0500-0000AA000000}"/>
    <hyperlink ref="A197" r:id="rId172" display="https://www.cornwall.ac.uk/university-hub/index.html" xr:uid="{00000000-0004-0000-0500-0000AB000000}"/>
    <hyperlink ref="A198" r:id="rId173" display="http://www.grimsby.ac.uk/" xr:uid="{00000000-0004-0000-0500-0000AC000000}"/>
    <hyperlink ref="A199" r:id="rId174" display="http://www.hull-college.ac.uk/" xr:uid="{00000000-0004-0000-0500-0000AD000000}"/>
    <hyperlink ref="A200" r:id="rId175" display="https://www.leedscitycollege.ac.uk/university-centre/" xr:uid="{00000000-0004-0000-0500-0000AE000000}"/>
    <hyperlink ref="A201" r:id="rId176" display="http://www.newcollegedurham.ac.uk/" xr:uid="{00000000-0004-0000-0500-0000AF000000}"/>
    <hyperlink ref="A202" r:id="rId177" display="http://www.ncl-coll.ac.uk/" xr:uid="{00000000-0004-0000-0500-0000B0000000}"/>
    <hyperlink ref="A203" r:id="rId178" display="http://www.warwickshire.ac.uk/" xr:uid="{00000000-0004-0000-0500-0000B1000000}"/>
    <hyperlink ref="A1" r:id="rId179" xr:uid="{00000000-0004-0000-0500-0000B2000000}"/>
  </hyperlinks>
  <pageMargins left="0.7" right="0.7" top="0.75" bottom="0.75" header="0.3" footer="0.3"/>
  <pageSetup paperSize="9" orientation="portrait" verticalDpi="0" r:id="rId18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I313"/>
  <sheetViews>
    <sheetView topLeftCell="F34" zoomScale="75" zoomScaleNormal="75" workbookViewId="0">
      <selection activeCell="S74" sqref="S74"/>
    </sheetView>
  </sheetViews>
  <sheetFormatPr defaultRowHeight="15" x14ac:dyDescent="0.25"/>
  <cols>
    <col min="4" max="4" width="21.28515625" style="800" customWidth="1"/>
    <col min="13" max="13" width="8.85546875" style="1"/>
    <col min="14" max="14" width="8.85546875" style="1178"/>
    <col min="15" max="16" width="8.85546875" style="800"/>
    <col min="34" max="34" width="7.28515625" customWidth="1"/>
  </cols>
  <sheetData>
    <row r="2" spans="2:14" x14ac:dyDescent="0.25">
      <c r="E2" s="800" t="s">
        <v>1273</v>
      </c>
      <c r="F2" s="800" t="s">
        <v>1274</v>
      </c>
      <c r="G2" s="800" t="s">
        <v>1275</v>
      </c>
      <c r="H2" s="800" t="s">
        <v>1276</v>
      </c>
      <c r="I2" s="800" t="s">
        <v>1277</v>
      </c>
      <c r="J2" s="800" t="s">
        <v>1272</v>
      </c>
      <c r="M2" s="1" t="s">
        <v>1281</v>
      </c>
      <c r="N2" s="1178" t="s">
        <v>1280</v>
      </c>
    </row>
    <row r="3" spans="2:14" x14ac:dyDescent="0.25">
      <c r="B3" s="1169"/>
      <c r="C3" s="1169" t="s">
        <v>1262</v>
      </c>
      <c r="D3" s="1169" t="s">
        <v>73</v>
      </c>
      <c r="E3" s="1169">
        <v>137</v>
      </c>
      <c r="F3" s="1169">
        <v>4.0199999999999996</v>
      </c>
      <c r="G3" s="1169">
        <v>2.16</v>
      </c>
      <c r="H3" s="1169">
        <v>73.400000000000006</v>
      </c>
      <c r="I3" s="1169">
        <v>569</v>
      </c>
      <c r="J3" s="1169">
        <v>65.8</v>
      </c>
      <c r="K3" s="1169">
        <f t="shared" ref="K3:K34" si="0">IF(L3=D3,1,0)</f>
        <v>1</v>
      </c>
      <c r="L3" s="1196" t="s">
        <v>73</v>
      </c>
      <c r="M3" s="1">
        <v>8</v>
      </c>
      <c r="N3" s="1178">
        <v>65.8</v>
      </c>
    </row>
    <row r="4" spans="2:14" x14ac:dyDescent="0.25">
      <c r="B4" s="1169"/>
      <c r="C4" s="1169" t="s">
        <v>1246</v>
      </c>
      <c r="D4" s="1169" t="s">
        <v>59</v>
      </c>
      <c r="E4" s="1169">
        <v>120</v>
      </c>
      <c r="F4" s="1169">
        <v>4.24</v>
      </c>
      <c r="G4" s="1169">
        <v>2.84</v>
      </c>
      <c r="H4" s="1169">
        <v>77.7</v>
      </c>
      <c r="I4" s="1169">
        <v>644</v>
      </c>
      <c r="J4" s="1169">
        <v>69</v>
      </c>
      <c r="K4" s="1169">
        <f t="shared" si="0"/>
        <v>1</v>
      </c>
      <c r="L4" s="1196" t="s">
        <v>59</v>
      </c>
      <c r="M4" s="1">
        <v>1</v>
      </c>
      <c r="N4" s="1178">
        <v>69</v>
      </c>
    </row>
    <row r="5" spans="2:14" x14ac:dyDescent="0.25">
      <c r="B5" s="1169"/>
      <c r="C5" s="1169" t="s">
        <v>1222</v>
      </c>
      <c r="D5" s="1169" t="s">
        <v>368</v>
      </c>
      <c r="E5" s="1169">
        <v>110</v>
      </c>
      <c r="F5" s="1169">
        <v>4.08</v>
      </c>
      <c r="G5" s="1169">
        <v>2.37</v>
      </c>
      <c r="H5" s="1169">
        <v>68.099999999999994</v>
      </c>
      <c r="I5" s="1169">
        <v>510</v>
      </c>
      <c r="J5" s="1169">
        <v>74</v>
      </c>
      <c r="K5" s="1169">
        <f t="shared" si="0"/>
        <v>1</v>
      </c>
      <c r="L5" s="1196" t="s">
        <v>368</v>
      </c>
      <c r="M5" s="1">
        <v>28</v>
      </c>
      <c r="N5" s="1178">
        <v>74</v>
      </c>
    </row>
    <row r="6" spans="2:14" x14ac:dyDescent="0.25">
      <c r="B6" s="1169"/>
      <c r="C6" s="1169" t="s">
        <v>1261</v>
      </c>
      <c r="D6" s="1169" t="s">
        <v>236</v>
      </c>
      <c r="E6" s="1169">
        <v>154</v>
      </c>
      <c r="F6" s="1169">
        <v>4.07</v>
      </c>
      <c r="G6" s="1169">
        <v>2.2999999999999998</v>
      </c>
      <c r="H6" s="1169">
        <v>80.3</v>
      </c>
      <c r="I6" s="1169">
        <v>667</v>
      </c>
      <c r="J6" s="1169">
        <v>66.099999999999994</v>
      </c>
      <c r="K6" s="1169">
        <f t="shared" si="0"/>
        <v>1</v>
      </c>
      <c r="L6" s="1197" t="s">
        <v>236</v>
      </c>
      <c r="M6" s="1">
        <v>14</v>
      </c>
      <c r="N6" s="1178">
        <v>66.099999999999994</v>
      </c>
    </row>
    <row r="7" spans="2:14" x14ac:dyDescent="0.25">
      <c r="B7" s="1169"/>
      <c r="C7" s="1169" t="s">
        <v>1173</v>
      </c>
      <c r="D7" s="1169" t="s">
        <v>239</v>
      </c>
      <c r="E7" s="1169">
        <v>131</v>
      </c>
      <c r="F7" s="1169">
        <v>4.0199999999999996</v>
      </c>
      <c r="G7" s="1169">
        <v>3.05</v>
      </c>
      <c r="H7" s="1169">
        <v>79.2</v>
      </c>
      <c r="I7" s="1169">
        <v>763</v>
      </c>
      <c r="J7" s="1169">
        <v>84.4</v>
      </c>
      <c r="K7" s="1169">
        <f t="shared" si="0"/>
        <v>1</v>
      </c>
      <c r="L7" s="1198" t="s">
        <v>239</v>
      </c>
      <c r="M7" s="1">
        <v>14</v>
      </c>
      <c r="N7" s="1178">
        <v>84.4</v>
      </c>
    </row>
    <row r="8" spans="2:14" x14ac:dyDescent="0.25">
      <c r="B8" s="1169"/>
      <c r="C8" s="1169" t="s">
        <v>1201</v>
      </c>
      <c r="D8" s="1169" t="s">
        <v>153</v>
      </c>
      <c r="E8" s="1169">
        <v>125</v>
      </c>
      <c r="F8" s="1169">
        <v>4.16</v>
      </c>
      <c r="G8" s="1169">
        <v>2.99</v>
      </c>
      <c r="H8" s="1169">
        <v>67.400000000000006</v>
      </c>
      <c r="I8" s="1169">
        <v>619</v>
      </c>
      <c r="J8" s="1169">
        <v>71.400000000000006</v>
      </c>
      <c r="K8" s="1169">
        <f t="shared" si="0"/>
        <v>1</v>
      </c>
      <c r="L8" s="1199" t="s">
        <v>153</v>
      </c>
      <c r="M8" s="1">
        <v>11</v>
      </c>
      <c r="N8" s="1178">
        <v>71.400000000000006</v>
      </c>
    </row>
    <row r="9" spans="2:14" x14ac:dyDescent="0.25">
      <c r="B9" s="1169"/>
      <c r="C9" s="1169" t="s">
        <v>1163</v>
      </c>
      <c r="D9" s="1169" t="s">
        <v>197</v>
      </c>
      <c r="E9" s="1169">
        <v>183</v>
      </c>
      <c r="F9" s="1169">
        <v>4.05</v>
      </c>
      <c r="G9" s="1169">
        <v>3.17</v>
      </c>
      <c r="H9" s="1169">
        <v>87.4</v>
      </c>
      <c r="I9" s="1169">
        <v>882</v>
      </c>
      <c r="J9" s="1169">
        <v>88.3</v>
      </c>
      <c r="K9" s="1169">
        <f t="shared" si="0"/>
        <v>1</v>
      </c>
      <c r="L9" s="1196" t="s">
        <v>197</v>
      </c>
      <c r="M9" s="1">
        <v>12</v>
      </c>
      <c r="N9" s="1178">
        <v>88.3</v>
      </c>
    </row>
    <row r="10" spans="2:14" x14ac:dyDescent="0.25">
      <c r="B10" s="1169"/>
      <c r="C10" s="1169" t="s">
        <v>1191</v>
      </c>
      <c r="D10" s="1169" t="s">
        <v>328</v>
      </c>
      <c r="E10" s="1169">
        <v>116</v>
      </c>
      <c r="F10" s="1169">
        <v>3.96</v>
      </c>
      <c r="G10" s="1169">
        <v>2.52</v>
      </c>
      <c r="H10" s="1169">
        <v>66.5</v>
      </c>
      <c r="I10" s="1169">
        <v>596</v>
      </c>
      <c r="J10" s="1169">
        <v>78.8</v>
      </c>
      <c r="K10" s="1169">
        <f t="shared" si="0"/>
        <v>1</v>
      </c>
      <c r="L10" s="1196" t="s">
        <v>328</v>
      </c>
      <c r="M10" s="1">
        <v>25</v>
      </c>
      <c r="N10" s="1178">
        <v>78.8</v>
      </c>
    </row>
    <row r="11" spans="2:14" x14ac:dyDescent="0.25">
      <c r="B11" s="1169"/>
      <c r="C11" s="1169" t="s">
        <v>1264</v>
      </c>
      <c r="D11" s="1169" t="s">
        <v>970</v>
      </c>
      <c r="E11" s="1169">
        <v>98</v>
      </c>
      <c r="F11" s="1169">
        <v>4.07</v>
      </c>
      <c r="G11" s="1169">
        <v>2.52</v>
      </c>
      <c r="H11" s="1169">
        <v>70.2</v>
      </c>
      <c r="I11" s="1169">
        <v>492</v>
      </c>
      <c r="J11" s="1169">
        <v>63.9</v>
      </c>
      <c r="K11" s="1169">
        <f t="shared" si="0"/>
        <v>1</v>
      </c>
      <c r="L11" s="1201" t="s">
        <v>970</v>
      </c>
      <c r="M11" s="1">
        <v>35</v>
      </c>
      <c r="N11" s="1178">
        <v>63.9</v>
      </c>
    </row>
    <row r="12" spans="2:14" x14ac:dyDescent="0.25">
      <c r="B12" s="1169"/>
      <c r="C12" s="1169" t="s">
        <v>1169</v>
      </c>
      <c r="D12" s="1169" t="s">
        <v>242</v>
      </c>
      <c r="E12" s="1169">
        <v>163</v>
      </c>
      <c r="F12" s="1169">
        <v>4.01</v>
      </c>
      <c r="G12" s="1169">
        <v>3.07</v>
      </c>
      <c r="H12" s="1169">
        <v>85.3</v>
      </c>
      <c r="I12" s="1169">
        <v>841</v>
      </c>
      <c r="J12" s="1169">
        <v>86.6</v>
      </c>
      <c r="K12" s="1169">
        <f t="shared" si="0"/>
        <v>1</v>
      </c>
      <c r="L12" s="1196" t="s">
        <v>242</v>
      </c>
      <c r="M12" s="1">
        <v>14</v>
      </c>
      <c r="N12" s="1178">
        <v>86.6</v>
      </c>
    </row>
    <row r="13" spans="2:14" x14ac:dyDescent="0.25">
      <c r="B13" s="1169"/>
      <c r="C13" s="1169" t="s">
        <v>1233</v>
      </c>
      <c r="D13" s="1169" t="s">
        <v>101</v>
      </c>
      <c r="E13" s="1169">
        <v>123</v>
      </c>
      <c r="F13" s="1169">
        <v>4.07</v>
      </c>
      <c r="G13" s="1169">
        <v>2.64</v>
      </c>
      <c r="H13" s="1169">
        <v>76.400000000000006</v>
      </c>
      <c r="I13" s="1169">
        <v>604</v>
      </c>
      <c r="J13" s="1169">
        <v>71.599999999999994</v>
      </c>
      <c r="K13" s="1169">
        <f t="shared" si="0"/>
        <v>1</v>
      </c>
      <c r="L13" s="1196" t="s">
        <v>101</v>
      </c>
      <c r="M13" s="1">
        <v>9</v>
      </c>
      <c r="N13" s="1178">
        <v>71.599999999999994</v>
      </c>
    </row>
    <row r="14" spans="2:14" x14ac:dyDescent="0.25">
      <c r="B14" s="1169"/>
      <c r="C14" s="1169" t="s">
        <v>1247</v>
      </c>
      <c r="D14" s="1169" t="s">
        <v>79</v>
      </c>
      <c r="E14" s="1169">
        <v>110</v>
      </c>
      <c r="F14" s="1169">
        <v>3.94</v>
      </c>
      <c r="G14" s="1169">
        <v>1.96</v>
      </c>
      <c r="H14" s="1169">
        <v>72.7</v>
      </c>
      <c r="I14" s="1169">
        <v>507</v>
      </c>
      <c r="J14" s="1169">
        <v>69</v>
      </c>
      <c r="K14" s="1169">
        <f t="shared" si="0"/>
        <v>1</v>
      </c>
      <c r="L14" s="1196" t="s">
        <v>79</v>
      </c>
      <c r="M14" s="1">
        <v>8</v>
      </c>
      <c r="N14" s="1178">
        <v>69</v>
      </c>
    </row>
    <row r="15" spans="2:14" x14ac:dyDescent="0.25">
      <c r="B15" s="1169"/>
      <c r="C15" s="1169" t="s">
        <v>1269</v>
      </c>
      <c r="D15" s="1169" t="s">
        <v>971</v>
      </c>
      <c r="E15" s="1169">
        <v>115</v>
      </c>
      <c r="F15" s="1169">
        <v>4.21</v>
      </c>
      <c r="G15" s="1169">
        <v>2.04</v>
      </c>
      <c r="H15" s="1169">
        <v>56.5</v>
      </c>
      <c r="I15" s="1169">
        <v>447</v>
      </c>
      <c r="J15" s="1169">
        <v>60.8</v>
      </c>
      <c r="K15" s="1169">
        <f t="shared" si="0"/>
        <v>1</v>
      </c>
      <c r="L15" s="1201" t="s">
        <v>971</v>
      </c>
      <c r="M15" s="1">
        <v>35</v>
      </c>
      <c r="N15" s="1178">
        <v>60.8</v>
      </c>
    </row>
    <row r="16" spans="2:14" x14ac:dyDescent="0.25">
      <c r="B16" s="1169"/>
      <c r="C16" s="1169" t="s">
        <v>1202</v>
      </c>
      <c r="D16" s="1169" t="s">
        <v>204</v>
      </c>
      <c r="E16" s="1169">
        <v>122</v>
      </c>
      <c r="F16" s="1169">
        <v>3.95</v>
      </c>
      <c r="G16" s="1169">
        <v>2.72</v>
      </c>
      <c r="H16" s="1169">
        <v>68.2</v>
      </c>
      <c r="I16" s="1169">
        <v>649</v>
      </c>
      <c r="J16" s="1169">
        <v>76.400000000000006</v>
      </c>
      <c r="K16" s="1169">
        <f t="shared" si="0"/>
        <v>1</v>
      </c>
      <c r="L16" s="1196" t="s">
        <v>204</v>
      </c>
      <c r="M16" s="1">
        <v>13</v>
      </c>
      <c r="N16" s="1178">
        <v>76.400000000000006</v>
      </c>
    </row>
    <row r="17" spans="2:14" x14ac:dyDescent="0.25">
      <c r="B17" s="1169"/>
      <c r="C17" s="1169" t="s">
        <v>1189</v>
      </c>
      <c r="D17" s="1169" t="s">
        <v>359</v>
      </c>
      <c r="E17" s="1169">
        <v>132</v>
      </c>
      <c r="F17" s="1169">
        <v>3.91</v>
      </c>
      <c r="G17" s="1169">
        <v>2.95</v>
      </c>
      <c r="H17" s="1169">
        <v>82.8</v>
      </c>
      <c r="I17" s="1169">
        <v>671</v>
      </c>
      <c r="J17" s="1169">
        <v>80.2</v>
      </c>
      <c r="K17" s="1169">
        <f t="shared" si="0"/>
        <v>1</v>
      </c>
      <c r="L17" s="1196" t="s">
        <v>359</v>
      </c>
      <c r="M17" s="1">
        <v>27</v>
      </c>
      <c r="N17" s="1178">
        <v>80.2</v>
      </c>
    </row>
    <row r="18" spans="2:14" x14ac:dyDescent="0.25">
      <c r="B18" s="1169"/>
      <c r="C18" s="1169" t="s">
        <v>1230</v>
      </c>
      <c r="D18" s="1169" t="s">
        <v>245</v>
      </c>
      <c r="E18" s="1169">
        <v>117</v>
      </c>
      <c r="F18" s="1169">
        <v>3.94</v>
      </c>
      <c r="G18" s="1169">
        <v>2.84</v>
      </c>
      <c r="H18" s="1169">
        <v>66.8</v>
      </c>
      <c r="I18" s="1169">
        <v>534</v>
      </c>
      <c r="J18" s="1169">
        <v>72.2</v>
      </c>
      <c r="K18" s="1169">
        <f t="shared" si="0"/>
        <v>1</v>
      </c>
      <c r="L18" s="1196" t="s">
        <v>245</v>
      </c>
      <c r="M18" s="1">
        <v>14</v>
      </c>
      <c r="N18" s="1178">
        <v>72.2</v>
      </c>
    </row>
    <row r="19" spans="2:14" x14ac:dyDescent="0.25">
      <c r="B19" s="1169"/>
      <c r="C19" s="1169" t="s">
        <v>1209</v>
      </c>
      <c r="D19" s="102" t="s">
        <v>159</v>
      </c>
      <c r="E19" s="1169">
        <v>126</v>
      </c>
      <c r="F19" s="1169">
        <v>3.88</v>
      </c>
      <c r="G19" s="1169">
        <v>2.67</v>
      </c>
      <c r="H19" s="1169">
        <v>70.7</v>
      </c>
      <c r="I19" s="1169">
        <v>651</v>
      </c>
      <c r="J19" s="1169">
        <v>75.7</v>
      </c>
      <c r="K19" s="1169">
        <f t="shared" si="0"/>
        <v>1</v>
      </c>
      <c r="L19" s="1196" t="s">
        <v>159</v>
      </c>
      <c r="M19" s="1">
        <v>11</v>
      </c>
      <c r="N19" s="1178">
        <v>75.7</v>
      </c>
    </row>
    <row r="20" spans="2:14" x14ac:dyDescent="0.25">
      <c r="B20" s="1169"/>
      <c r="C20" s="1169" t="s">
        <v>1243</v>
      </c>
      <c r="D20" s="1169" t="s">
        <v>82</v>
      </c>
      <c r="E20" s="1169">
        <v>121</v>
      </c>
      <c r="F20" s="1169">
        <v>4.24</v>
      </c>
      <c r="G20" s="1169" t="s">
        <v>1192</v>
      </c>
      <c r="H20" s="1169">
        <v>81.5</v>
      </c>
      <c r="I20" s="1169">
        <v>563</v>
      </c>
      <c r="J20" s="1169">
        <v>69.7</v>
      </c>
      <c r="K20" s="1169">
        <f t="shared" si="0"/>
        <v>1</v>
      </c>
      <c r="L20" s="1196" t="s">
        <v>82</v>
      </c>
      <c r="M20" s="1">
        <v>8</v>
      </c>
      <c r="N20" s="1178">
        <v>69.7</v>
      </c>
    </row>
    <row r="21" spans="2:14" x14ac:dyDescent="0.25">
      <c r="B21" s="1169"/>
      <c r="C21" s="1169" t="s">
        <v>1270</v>
      </c>
      <c r="D21" s="1174" t="s">
        <v>1271</v>
      </c>
      <c r="E21" s="1169">
        <v>115</v>
      </c>
      <c r="F21" s="1169">
        <v>4.0999999999999996</v>
      </c>
      <c r="G21" s="1169">
        <v>2.19</v>
      </c>
      <c r="H21" s="1169">
        <v>67.599999999999994</v>
      </c>
      <c r="I21" s="1169">
        <v>528</v>
      </c>
      <c r="J21" s="1169">
        <v>60.4</v>
      </c>
      <c r="K21" s="1169">
        <f t="shared" si="0"/>
        <v>1</v>
      </c>
      <c r="L21" s="1200" t="s">
        <v>1271</v>
      </c>
      <c r="M21" s="1">
        <v>11</v>
      </c>
      <c r="N21" s="1178">
        <v>60.4</v>
      </c>
    </row>
    <row r="22" spans="2:14" x14ac:dyDescent="0.25">
      <c r="B22" s="1169"/>
      <c r="C22" s="1169" t="s">
        <v>1248</v>
      </c>
      <c r="D22" s="1169" t="s">
        <v>306</v>
      </c>
      <c r="E22" s="1169">
        <v>108</v>
      </c>
      <c r="F22" s="1169">
        <v>3.99</v>
      </c>
      <c r="G22" s="1169">
        <v>2.38</v>
      </c>
      <c r="H22" s="1169">
        <v>64.400000000000006</v>
      </c>
      <c r="I22" s="1169">
        <v>522</v>
      </c>
      <c r="J22" s="1169">
        <v>68.8</v>
      </c>
      <c r="K22" s="1169">
        <f t="shared" si="0"/>
        <v>1</v>
      </c>
      <c r="L22" s="1196" t="s">
        <v>306</v>
      </c>
      <c r="M22" s="1">
        <v>22</v>
      </c>
      <c r="N22" s="1178">
        <v>68.8</v>
      </c>
    </row>
    <row r="23" spans="2:14" x14ac:dyDescent="0.25">
      <c r="B23" s="1169"/>
      <c r="C23" s="1169" t="s">
        <v>1178</v>
      </c>
      <c r="D23" s="1169" t="s">
        <v>967</v>
      </c>
      <c r="E23" s="1169">
        <v>158</v>
      </c>
      <c r="F23" s="1169">
        <v>3.99</v>
      </c>
      <c r="G23" s="1169">
        <v>3.27</v>
      </c>
      <c r="H23" s="1169">
        <v>81.900000000000006</v>
      </c>
      <c r="I23" s="1169">
        <v>786</v>
      </c>
      <c r="J23" s="1169">
        <v>83.3</v>
      </c>
      <c r="K23" s="1169">
        <f t="shared" si="0"/>
        <v>1</v>
      </c>
      <c r="L23" s="1200" t="s">
        <v>967</v>
      </c>
      <c r="M23" s="1">
        <v>13</v>
      </c>
      <c r="N23" s="1178">
        <v>83.3</v>
      </c>
    </row>
    <row r="24" spans="2:14" x14ac:dyDescent="0.25">
      <c r="B24" s="1169"/>
      <c r="C24" s="1169" t="s">
        <v>1255</v>
      </c>
      <c r="D24" s="102" t="s">
        <v>331</v>
      </c>
      <c r="E24" s="1169">
        <v>122</v>
      </c>
      <c r="F24" s="1169">
        <v>3.98</v>
      </c>
      <c r="G24" s="1169">
        <v>3</v>
      </c>
      <c r="H24" s="1169">
        <v>65.5</v>
      </c>
      <c r="I24" s="1169">
        <v>593</v>
      </c>
      <c r="J24" s="1169">
        <v>67.400000000000006</v>
      </c>
      <c r="K24" s="1169">
        <f t="shared" si="0"/>
        <v>1</v>
      </c>
      <c r="L24" s="1196" t="s">
        <v>331</v>
      </c>
      <c r="M24" s="1">
        <v>25</v>
      </c>
      <c r="N24" s="1178">
        <v>67.400000000000006</v>
      </c>
    </row>
    <row r="25" spans="2:14" x14ac:dyDescent="0.25">
      <c r="B25" s="1169"/>
      <c r="C25" s="1169" t="s">
        <v>1231</v>
      </c>
      <c r="D25" s="1169" t="s">
        <v>361</v>
      </c>
      <c r="E25" s="1169">
        <v>132</v>
      </c>
      <c r="F25" s="1169">
        <v>4</v>
      </c>
      <c r="G25" s="1169">
        <v>2.5099999999999998</v>
      </c>
      <c r="H25" s="1169">
        <v>76.900000000000006</v>
      </c>
      <c r="I25" s="1169">
        <v>633</v>
      </c>
      <c r="J25" s="1169">
        <v>71.8</v>
      </c>
      <c r="K25" s="1169">
        <f t="shared" si="0"/>
        <v>1</v>
      </c>
      <c r="L25" s="1196" t="s">
        <v>361</v>
      </c>
      <c r="M25" s="1">
        <v>27</v>
      </c>
      <c r="N25" s="1178">
        <v>71.8</v>
      </c>
    </row>
    <row r="26" spans="2:14" x14ac:dyDescent="0.25">
      <c r="B26" s="1169"/>
      <c r="C26" s="1169" t="s">
        <v>1244</v>
      </c>
      <c r="D26" s="1169" t="s">
        <v>319</v>
      </c>
      <c r="E26" s="1169">
        <v>113</v>
      </c>
      <c r="F26" s="1169">
        <v>4.0999999999999996</v>
      </c>
      <c r="G26" s="1169">
        <v>2.08</v>
      </c>
      <c r="H26" s="1169">
        <v>70.099999999999994</v>
      </c>
      <c r="I26" s="1169">
        <v>577</v>
      </c>
      <c r="J26" s="1169">
        <v>69.7</v>
      </c>
      <c r="K26" s="1169">
        <f t="shared" si="0"/>
        <v>1</v>
      </c>
      <c r="L26" s="1196" t="s">
        <v>319</v>
      </c>
      <c r="M26" s="1">
        <v>24</v>
      </c>
      <c r="N26" s="1178">
        <v>69.7</v>
      </c>
    </row>
    <row r="27" spans="2:14" x14ac:dyDescent="0.25">
      <c r="B27" s="1169"/>
      <c r="C27" s="1169" t="s">
        <v>1226</v>
      </c>
      <c r="D27" s="1174" t="s">
        <v>109</v>
      </c>
      <c r="E27" s="1169">
        <v>122</v>
      </c>
      <c r="F27" s="1169">
        <v>4.07</v>
      </c>
      <c r="G27" s="1169">
        <v>2.5</v>
      </c>
      <c r="H27" s="1169">
        <v>64.8</v>
      </c>
      <c r="I27" s="1169">
        <v>612</v>
      </c>
      <c r="J27" s="1169">
        <v>73.099999999999994</v>
      </c>
      <c r="K27" s="1169">
        <f t="shared" si="0"/>
        <v>1</v>
      </c>
      <c r="L27" s="1196" t="s">
        <v>109</v>
      </c>
      <c r="M27" s="1">
        <v>9</v>
      </c>
      <c r="N27" s="1178">
        <v>73.099999999999994</v>
      </c>
    </row>
    <row r="28" spans="2:14" x14ac:dyDescent="0.25">
      <c r="B28" s="1169"/>
      <c r="C28" s="1169" t="s">
        <v>1205</v>
      </c>
      <c r="D28" s="1169" t="s">
        <v>447</v>
      </c>
      <c r="E28" s="1169">
        <v>126</v>
      </c>
      <c r="F28" s="1169">
        <v>4.13</v>
      </c>
      <c r="G28" s="1169">
        <v>2.67</v>
      </c>
      <c r="H28" s="1169">
        <v>80.5</v>
      </c>
      <c r="I28" s="1169">
        <v>698</v>
      </c>
      <c r="J28" s="1169">
        <v>76.099999999999994</v>
      </c>
      <c r="K28" s="1169">
        <f t="shared" si="0"/>
        <v>1</v>
      </c>
      <c r="L28" s="1201" t="s">
        <v>447</v>
      </c>
      <c r="M28" s="1">
        <v>36</v>
      </c>
      <c r="N28" s="1178">
        <v>76.099999999999994</v>
      </c>
    </row>
    <row r="29" spans="2:14" x14ac:dyDescent="0.25">
      <c r="B29" s="1169"/>
      <c r="C29" s="1169" t="s">
        <v>1254</v>
      </c>
      <c r="D29" s="1169" t="s">
        <v>334</v>
      </c>
      <c r="E29" s="1169">
        <v>123</v>
      </c>
      <c r="F29" s="1169">
        <v>3.92</v>
      </c>
      <c r="G29" s="1169">
        <v>2.13</v>
      </c>
      <c r="H29" s="1169">
        <v>72.400000000000006</v>
      </c>
      <c r="I29" s="1169">
        <v>502</v>
      </c>
      <c r="J29" s="1169">
        <v>67.400000000000006</v>
      </c>
      <c r="K29" s="1169">
        <f t="shared" si="0"/>
        <v>1</v>
      </c>
      <c r="L29" s="1196" t="s">
        <v>334</v>
      </c>
      <c r="M29" s="1">
        <v>25</v>
      </c>
      <c r="N29" s="1178">
        <v>67.400000000000006</v>
      </c>
    </row>
    <row r="30" spans="2:14" x14ac:dyDescent="0.25">
      <c r="B30" s="1169"/>
      <c r="C30" s="1169" t="s">
        <v>1213</v>
      </c>
      <c r="D30" s="1169" t="s">
        <v>295</v>
      </c>
      <c r="E30" s="1169">
        <v>110</v>
      </c>
      <c r="F30" s="1169">
        <v>4.13</v>
      </c>
      <c r="G30" s="1169">
        <v>2.67</v>
      </c>
      <c r="H30" s="1169">
        <v>83.2</v>
      </c>
      <c r="I30" s="1169">
        <v>655</v>
      </c>
      <c r="J30" s="1169">
        <v>75.099999999999994</v>
      </c>
      <c r="K30" s="1169">
        <f t="shared" si="0"/>
        <v>1</v>
      </c>
      <c r="L30" s="1196" t="s">
        <v>295</v>
      </c>
      <c r="M30" s="1">
        <v>20</v>
      </c>
      <c r="N30" s="1178">
        <v>75.099999999999994</v>
      </c>
    </row>
    <row r="31" spans="2:14" x14ac:dyDescent="0.25">
      <c r="B31" s="1169"/>
      <c r="C31" s="1169" t="s">
        <v>1212</v>
      </c>
      <c r="D31" s="1174" t="s">
        <v>270</v>
      </c>
      <c r="E31" s="1169">
        <v>122</v>
      </c>
      <c r="F31" s="1169">
        <v>4.1100000000000003</v>
      </c>
      <c r="G31" s="1169">
        <v>2.0699999999999998</v>
      </c>
      <c r="H31" s="1169">
        <v>75.8</v>
      </c>
      <c r="I31" s="1169">
        <v>584</v>
      </c>
      <c r="J31" s="1169">
        <v>65.7</v>
      </c>
      <c r="K31" s="1169">
        <f t="shared" si="0"/>
        <v>1</v>
      </c>
      <c r="L31" s="1196" t="s">
        <v>270</v>
      </c>
      <c r="M31" s="1">
        <v>15</v>
      </c>
      <c r="N31" s="1178">
        <v>65.7</v>
      </c>
    </row>
    <row r="32" spans="2:14" x14ac:dyDescent="0.25">
      <c r="B32" s="1169"/>
      <c r="C32" s="1169" t="s">
        <v>1197</v>
      </c>
      <c r="D32" s="1169" t="s">
        <v>112</v>
      </c>
      <c r="E32" s="1169">
        <v>168</v>
      </c>
      <c r="F32" s="1169">
        <v>4.16</v>
      </c>
      <c r="G32" s="1169">
        <v>3.03</v>
      </c>
      <c r="H32" s="1169">
        <v>81.400000000000006</v>
      </c>
      <c r="I32" s="1169">
        <v>772</v>
      </c>
      <c r="J32" s="1169">
        <v>78.900000000000006</v>
      </c>
      <c r="K32" s="1169">
        <f t="shared" si="0"/>
        <v>1</v>
      </c>
      <c r="L32" s="1196" t="s">
        <v>112</v>
      </c>
      <c r="M32" s="1">
        <v>9</v>
      </c>
      <c r="N32" s="1178">
        <v>78.900000000000006</v>
      </c>
    </row>
    <row r="33" spans="2:35" x14ac:dyDescent="0.25">
      <c r="B33" s="1169"/>
      <c r="C33" s="1169" t="s">
        <v>1158</v>
      </c>
      <c r="D33" s="1169" t="s">
        <v>115</v>
      </c>
      <c r="E33" s="1169">
        <v>194</v>
      </c>
      <c r="F33" s="1169">
        <v>4.01</v>
      </c>
      <c r="G33" s="1169">
        <v>3.14</v>
      </c>
      <c r="H33" s="1169">
        <v>84.8</v>
      </c>
      <c r="I33" s="1169">
        <v>915</v>
      </c>
      <c r="J33" s="1169">
        <v>92.1</v>
      </c>
      <c r="K33" s="1169">
        <f t="shared" si="0"/>
        <v>1</v>
      </c>
      <c r="L33" s="1196" t="s">
        <v>115</v>
      </c>
      <c r="M33" s="1">
        <v>9</v>
      </c>
      <c r="N33" s="1178">
        <v>92.1</v>
      </c>
    </row>
    <row r="34" spans="2:35" x14ac:dyDescent="0.25">
      <c r="B34" s="1169"/>
      <c r="C34" s="1169" t="s">
        <v>1165</v>
      </c>
      <c r="D34" s="1169" t="s">
        <v>118</v>
      </c>
      <c r="E34" s="1169">
        <v>147</v>
      </c>
      <c r="F34" s="1169">
        <v>4.01</v>
      </c>
      <c r="G34" s="1169">
        <v>3.11</v>
      </c>
      <c r="H34" s="1169">
        <v>77</v>
      </c>
      <c r="I34" s="1169">
        <v>802</v>
      </c>
      <c r="J34" s="1169">
        <v>87.2</v>
      </c>
      <c r="K34" s="1169">
        <f t="shared" si="0"/>
        <v>1</v>
      </c>
      <c r="L34" s="1196" t="s">
        <v>118</v>
      </c>
      <c r="M34" s="1">
        <v>9</v>
      </c>
      <c r="N34" s="1178">
        <v>87.2</v>
      </c>
    </row>
    <row r="35" spans="2:35" x14ac:dyDescent="0.25">
      <c r="B35" s="1169"/>
      <c r="C35" s="1169" t="s">
        <v>1250</v>
      </c>
      <c r="D35" s="1169" t="s">
        <v>392</v>
      </c>
      <c r="E35" s="1169">
        <v>107</v>
      </c>
      <c r="F35" s="1169">
        <v>4.1100000000000003</v>
      </c>
      <c r="G35" s="1169">
        <v>2.71</v>
      </c>
      <c r="H35" s="1169">
        <v>65</v>
      </c>
      <c r="I35" s="1169">
        <v>526</v>
      </c>
      <c r="J35" s="1169">
        <v>68.099999999999994</v>
      </c>
      <c r="K35" s="1169">
        <f t="shared" ref="K35:K66" si="1">IF(L35=D35,1,0)</f>
        <v>1</v>
      </c>
      <c r="L35" s="1196" t="s">
        <v>392</v>
      </c>
      <c r="M35" s="1">
        <v>30</v>
      </c>
      <c r="N35" s="1178">
        <v>68.099999999999994</v>
      </c>
    </row>
    <row r="36" spans="2:35" x14ac:dyDescent="0.25">
      <c r="B36" s="1169"/>
      <c r="C36" s="1169" t="s">
        <v>1206</v>
      </c>
      <c r="D36" s="1169" t="s">
        <v>309</v>
      </c>
      <c r="E36" s="1169">
        <v>133</v>
      </c>
      <c r="F36" s="1169">
        <v>4.1100000000000003</v>
      </c>
      <c r="G36" s="1169">
        <v>2.2200000000000002</v>
      </c>
      <c r="H36" s="1169">
        <v>76.900000000000006</v>
      </c>
      <c r="I36" s="1169">
        <v>676</v>
      </c>
      <c r="J36" s="1169">
        <v>74</v>
      </c>
      <c r="K36" s="1169">
        <f t="shared" si="1"/>
        <v>1</v>
      </c>
      <c r="L36" s="1196" t="s">
        <v>309</v>
      </c>
      <c r="M36" s="1">
        <v>22</v>
      </c>
      <c r="N36" s="1178">
        <v>74</v>
      </c>
    </row>
    <row r="37" spans="2:35" x14ac:dyDescent="0.25">
      <c r="B37" s="1169"/>
      <c r="C37" s="1169" t="s">
        <v>1160</v>
      </c>
      <c r="D37" s="1169" t="s">
        <v>86</v>
      </c>
      <c r="E37" s="1169">
        <v>189</v>
      </c>
      <c r="F37" s="1169">
        <v>3.84</v>
      </c>
      <c r="G37" s="1169">
        <v>3.18</v>
      </c>
      <c r="H37" s="1169">
        <v>77.3</v>
      </c>
      <c r="I37" s="1169">
        <v>826</v>
      </c>
      <c r="J37" s="1169">
        <v>89.5</v>
      </c>
      <c r="K37" s="1169">
        <f t="shared" si="1"/>
        <v>1</v>
      </c>
      <c r="L37" s="1196" t="s">
        <v>86</v>
      </c>
      <c r="M37" s="1">
        <v>8</v>
      </c>
      <c r="N37" s="1178">
        <v>89.5</v>
      </c>
    </row>
    <row r="38" spans="2:35" x14ac:dyDescent="0.25">
      <c r="B38" s="1169"/>
      <c r="C38" s="1169" t="s">
        <v>1208</v>
      </c>
      <c r="D38" s="1169" t="s">
        <v>371</v>
      </c>
      <c r="E38" s="1169">
        <v>143</v>
      </c>
      <c r="F38" s="1169">
        <v>3.85</v>
      </c>
      <c r="G38" s="1169">
        <v>2.52</v>
      </c>
      <c r="H38" s="1169">
        <v>73.400000000000006</v>
      </c>
      <c r="I38" s="1169">
        <v>615</v>
      </c>
      <c r="J38" s="1169">
        <v>75.7</v>
      </c>
      <c r="K38" s="1169">
        <f t="shared" si="1"/>
        <v>1</v>
      </c>
      <c r="L38" s="1196" t="s">
        <v>371</v>
      </c>
      <c r="M38" s="1">
        <v>28</v>
      </c>
      <c r="N38" s="1178">
        <v>75.7</v>
      </c>
      <c r="S38" s="725"/>
      <c r="T38" s="725"/>
      <c r="U38" s="725"/>
      <c r="V38" s="725"/>
      <c r="W38" s="725"/>
      <c r="X38" s="725"/>
      <c r="Y38" s="725"/>
      <c r="Z38" s="725"/>
      <c r="AA38" s="725"/>
      <c r="AB38" s="725"/>
      <c r="AC38" s="725"/>
      <c r="AD38" s="725"/>
      <c r="AE38" s="725"/>
      <c r="AF38" s="725"/>
      <c r="AG38" s="725"/>
      <c r="AH38" s="725"/>
      <c r="AI38" s="725"/>
    </row>
    <row r="39" spans="2:35" x14ac:dyDescent="0.25">
      <c r="B39" s="1169"/>
      <c r="C39" s="1169" t="s">
        <v>1182</v>
      </c>
      <c r="D39" s="1169" t="s">
        <v>121</v>
      </c>
      <c r="E39" s="1169">
        <v>111</v>
      </c>
      <c r="F39" s="1169">
        <v>4.08</v>
      </c>
      <c r="G39" s="1169">
        <v>3.05</v>
      </c>
      <c r="H39" s="1169">
        <v>73.8</v>
      </c>
      <c r="I39" s="1169">
        <v>726</v>
      </c>
      <c r="J39" s="1169">
        <v>74.5</v>
      </c>
      <c r="K39" s="1169">
        <f t="shared" si="1"/>
        <v>1</v>
      </c>
      <c r="L39" s="1196" t="s">
        <v>121</v>
      </c>
      <c r="M39" s="1">
        <v>9</v>
      </c>
      <c r="N39" s="1178">
        <v>74.5</v>
      </c>
      <c r="S39" s="725"/>
      <c r="T39" s="1425"/>
      <c r="U39" s="1425"/>
      <c r="V39" s="1425"/>
      <c r="W39" s="1425"/>
      <c r="X39" s="1425"/>
      <c r="Y39" s="1425"/>
      <c r="Z39" s="1425"/>
      <c r="AA39" s="1425"/>
      <c r="AB39" s="1425"/>
      <c r="AC39" s="1425"/>
      <c r="AD39" s="1425"/>
      <c r="AE39" s="1425"/>
      <c r="AF39" s="1425"/>
      <c r="AG39" s="1425"/>
      <c r="AH39" s="1425"/>
      <c r="AI39" s="725"/>
    </row>
    <row r="40" spans="2:35" x14ac:dyDescent="0.25">
      <c r="B40" s="1169"/>
      <c r="C40" s="1169" t="s">
        <v>1164</v>
      </c>
      <c r="D40" s="1169" t="s">
        <v>164</v>
      </c>
      <c r="E40" s="1169">
        <v>171</v>
      </c>
      <c r="F40" s="1169">
        <v>4.08</v>
      </c>
      <c r="G40" s="1169">
        <v>3.08</v>
      </c>
      <c r="H40" s="1169">
        <v>85.5</v>
      </c>
      <c r="I40" s="1169">
        <v>868</v>
      </c>
      <c r="J40" s="1169">
        <v>87.9</v>
      </c>
      <c r="K40" s="1169">
        <f t="shared" si="1"/>
        <v>1</v>
      </c>
      <c r="L40" s="1196" t="s">
        <v>164</v>
      </c>
      <c r="M40" s="1">
        <v>11</v>
      </c>
      <c r="N40" s="1178">
        <v>87.9</v>
      </c>
      <c r="S40" s="725"/>
      <c r="T40" s="1425"/>
      <c r="U40" s="1425"/>
      <c r="V40" s="1425"/>
      <c r="W40" s="1425"/>
      <c r="X40" s="1425"/>
      <c r="Y40" s="1425"/>
      <c r="Z40" s="1425"/>
      <c r="AA40" s="1425"/>
      <c r="AB40" s="1425"/>
      <c r="AC40" s="1425"/>
      <c r="AD40" s="1425"/>
      <c r="AE40" s="1425"/>
      <c r="AF40" s="1425"/>
      <c r="AG40" s="1425"/>
      <c r="AH40" s="1425"/>
      <c r="AI40" s="725"/>
    </row>
    <row r="41" spans="2:35" x14ac:dyDescent="0.25">
      <c r="B41" s="1169"/>
      <c r="C41" s="1169" t="s">
        <v>1190</v>
      </c>
      <c r="D41" s="1169" t="s">
        <v>167</v>
      </c>
      <c r="E41" s="1169">
        <v>130</v>
      </c>
      <c r="F41" s="1169">
        <v>4.01</v>
      </c>
      <c r="G41" s="1169">
        <v>2.04</v>
      </c>
      <c r="H41" s="1169">
        <v>76.900000000000006</v>
      </c>
      <c r="I41" s="1169">
        <v>628</v>
      </c>
      <c r="J41" s="1169">
        <v>78</v>
      </c>
      <c r="K41" s="1169">
        <f t="shared" si="1"/>
        <v>1</v>
      </c>
      <c r="L41" s="1196" t="s">
        <v>167</v>
      </c>
      <c r="M41" s="1">
        <v>11</v>
      </c>
      <c r="N41" s="1178">
        <v>78</v>
      </c>
      <c r="S41" s="725"/>
      <c r="T41" s="1425"/>
      <c r="U41" s="1425"/>
      <c r="V41" s="1425"/>
      <c r="W41" s="1425"/>
      <c r="X41" s="1425"/>
      <c r="Y41" s="1425"/>
      <c r="Z41" s="1425"/>
      <c r="AA41" s="1425"/>
      <c r="AB41" s="1425"/>
      <c r="AC41" s="1425"/>
      <c r="AD41" s="1425"/>
      <c r="AE41" s="1425"/>
      <c r="AF41" s="1425"/>
      <c r="AG41" s="1425"/>
      <c r="AH41" s="1425"/>
      <c r="AI41" s="725"/>
    </row>
    <row r="42" spans="2:35" x14ac:dyDescent="0.25">
      <c r="B42" s="1169"/>
      <c r="C42" s="1169" t="s">
        <v>1190</v>
      </c>
      <c r="D42" s="1169" t="s">
        <v>375</v>
      </c>
      <c r="E42" s="1169">
        <v>163</v>
      </c>
      <c r="F42" s="1169">
        <v>3.99</v>
      </c>
      <c r="G42" s="1169">
        <v>2.67</v>
      </c>
      <c r="H42" s="1169">
        <v>72.099999999999994</v>
      </c>
      <c r="I42" s="1169">
        <v>628</v>
      </c>
      <c r="J42" s="1169">
        <v>79.900000000000006</v>
      </c>
      <c r="K42" s="1169">
        <f t="shared" si="1"/>
        <v>1</v>
      </c>
      <c r="L42" s="1196" t="s">
        <v>375</v>
      </c>
      <c r="M42" s="1">
        <v>28</v>
      </c>
      <c r="N42" s="1178">
        <v>79.900000000000006</v>
      </c>
      <c r="S42" s="725"/>
      <c r="T42" s="1425"/>
      <c r="U42" s="1425"/>
      <c r="V42" s="1425"/>
      <c r="W42" s="1425"/>
      <c r="X42" s="1425"/>
      <c r="Y42" s="1425"/>
      <c r="Z42" s="1425"/>
      <c r="AA42" s="1425"/>
      <c r="AB42" s="1425"/>
      <c r="AC42" s="1425"/>
      <c r="AD42" s="1425"/>
      <c r="AE42" s="1425"/>
      <c r="AF42" s="1425"/>
      <c r="AG42" s="1425"/>
      <c r="AH42" s="1425"/>
      <c r="AI42" s="725"/>
    </row>
    <row r="43" spans="2:35" x14ac:dyDescent="0.25">
      <c r="B43" s="1169"/>
      <c r="C43" s="1169" t="s">
        <v>1236</v>
      </c>
      <c r="D43" s="1169" t="s">
        <v>420</v>
      </c>
      <c r="E43" s="1169">
        <v>120</v>
      </c>
      <c r="F43" s="1169">
        <v>4.09</v>
      </c>
      <c r="G43" s="1169">
        <v>2.38</v>
      </c>
      <c r="H43" s="1169">
        <v>72.599999999999994</v>
      </c>
      <c r="I43" s="1169">
        <v>583</v>
      </c>
      <c r="J43" s="1169">
        <v>71.3</v>
      </c>
      <c r="K43" s="1169">
        <f t="shared" si="1"/>
        <v>1</v>
      </c>
      <c r="L43" s="1201" t="s">
        <v>420</v>
      </c>
      <c r="M43" s="1">
        <v>35</v>
      </c>
      <c r="N43" s="1178">
        <v>71.3</v>
      </c>
      <c r="S43" s="725"/>
      <c r="T43" s="1425"/>
      <c r="U43" s="1425"/>
      <c r="V43" s="1425"/>
      <c r="W43" s="1425"/>
      <c r="X43" s="1425"/>
      <c r="Y43" s="1425"/>
      <c r="Z43" s="1425"/>
      <c r="AA43" s="1425"/>
      <c r="AB43" s="1425"/>
      <c r="AC43" s="1425"/>
      <c r="AD43" s="1425"/>
      <c r="AE43" s="1425"/>
      <c r="AF43" s="1425"/>
      <c r="AG43" s="1425"/>
      <c r="AH43" s="1425"/>
      <c r="AI43" s="725"/>
    </row>
    <row r="44" spans="2:35" x14ac:dyDescent="0.25">
      <c r="B44" s="1169"/>
      <c r="C44" s="1169" t="s">
        <v>1181</v>
      </c>
      <c r="D44" s="1169" t="s">
        <v>55</v>
      </c>
      <c r="E44" s="1169">
        <v>130</v>
      </c>
      <c r="F44" s="1169">
        <v>3.88</v>
      </c>
      <c r="G44" s="1169">
        <v>2.9</v>
      </c>
      <c r="H44" s="1169">
        <v>58.1</v>
      </c>
      <c r="I44" s="1169">
        <v>640</v>
      </c>
      <c r="J44" s="1169">
        <v>81.900000000000006</v>
      </c>
      <c r="K44" s="1169">
        <f t="shared" si="1"/>
        <v>1</v>
      </c>
      <c r="L44" s="1196" t="s">
        <v>55</v>
      </c>
      <c r="M44" s="1">
        <v>5</v>
      </c>
      <c r="N44" s="1178">
        <v>81.900000000000006</v>
      </c>
      <c r="S44" s="725"/>
      <c r="T44" s="1425"/>
      <c r="U44" s="1425"/>
      <c r="V44" s="1425"/>
      <c r="W44" s="1425"/>
      <c r="X44" s="1425"/>
      <c r="Y44" s="1425"/>
      <c r="Z44" s="1425"/>
      <c r="AA44" s="1425"/>
      <c r="AB44" s="1425"/>
      <c r="AC44" s="1425"/>
      <c r="AD44" s="1425"/>
      <c r="AE44" s="1425"/>
      <c r="AF44" s="1425"/>
      <c r="AG44" s="1425"/>
      <c r="AH44" s="1425"/>
      <c r="AI44" s="725"/>
    </row>
    <row r="45" spans="2:35" x14ac:dyDescent="0.25">
      <c r="B45" s="1169"/>
      <c r="C45" s="1169" t="s">
        <v>1201</v>
      </c>
      <c r="D45" s="1169" t="s">
        <v>299</v>
      </c>
      <c r="E45" s="1169">
        <v>136</v>
      </c>
      <c r="F45" s="1169">
        <v>4</v>
      </c>
      <c r="G45" s="1169">
        <v>2.33</v>
      </c>
      <c r="H45" s="1169">
        <v>70.2</v>
      </c>
      <c r="I45" s="1169">
        <v>619</v>
      </c>
      <c r="J45" s="1169">
        <v>77</v>
      </c>
      <c r="K45" s="1169">
        <f t="shared" si="1"/>
        <v>1</v>
      </c>
      <c r="L45" s="1196" t="s">
        <v>299</v>
      </c>
      <c r="M45" s="1">
        <v>21</v>
      </c>
      <c r="N45" s="1178">
        <v>77</v>
      </c>
      <c r="S45" s="725"/>
      <c r="T45" s="1425"/>
      <c r="U45" s="1425"/>
      <c r="V45" s="1425"/>
      <c r="W45" s="1425"/>
      <c r="X45" s="1425"/>
      <c r="Y45" s="1425"/>
      <c r="Z45" s="1425"/>
      <c r="AA45" s="1425"/>
      <c r="AB45" s="1425"/>
      <c r="AC45" s="1425"/>
      <c r="AD45" s="1425"/>
      <c r="AE45" s="1425"/>
      <c r="AF45" s="1425"/>
      <c r="AG45" s="1425"/>
      <c r="AH45" s="1425"/>
      <c r="AI45" s="725"/>
    </row>
    <row r="46" spans="2:35" x14ac:dyDescent="0.25">
      <c r="B46" s="1169"/>
      <c r="C46" s="1169" t="s">
        <v>1218</v>
      </c>
      <c r="D46" s="1177" t="s">
        <v>209</v>
      </c>
      <c r="E46" s="1169">
        <v>134</v>
      </c>
      <c r="F46" s="1169">
        <v>4.09</v>
      </c>
      <c r="G46" s="1169">
        <v>2.66</v>
      </c>
      <c r="H46" s="1169">
        <v>72.5</v>
      </c>
      <c r="I46" s="1169">
        <v>785</v>
      </c>
      <c r="J46" s="1169">
        <v>74.400000000000006</v>
      </c>
      <c r="K46" s="1169">
        <f t="shared" si="1"/>
        <v>1</v>
      </c>
      <c r="L46" s="1196" t="s">
        <v>209</v>
      </c>
      <c r="M46" s="1">
        <v>13</v>
      </c>
      <c r="N46" s="1178">
        <v>74.400000000000006</v>
      </c>
      <c r="S46" s="725"/>
      <c r="T46" s="1425"/>
      <c r="U46" s="1425"/>
      <c r="V46" s="1425"/>
      <c r="W46" s="1425"/>
      <c r="X46" s="1425"/>
      <c r="Y46" s="1425"/>
      <c r="Z46" s="1425"/>
      <c r="AA46" s="1425"/>
      <c r="AB46" s="1425"/>
      <c r="AC46" s="1425"/>
      <c r="AD46" s="1425"/>
      <c r="AE46" s="1425"/>
      <c r="AF46" s="1425"/>
      <c r="AG46" s="1425"/>
      <c r="AH46" s="1425"/>
      <c r="AI46" s="725"/>
    </row>
    <row r="47" spans="2:35" x14ac:dyDescent="0.25">
      <c r="B47" s="1169"/>
      <c r="C47" s="1169" t="s">
        <v>1263</v>
      </c>
      <c r="D47" s="1169" t="s">
        <v>384</v>
      </c>
      <c r="E47" s="1169">
        <v>116</v>
      </c>
      <c r="F47" s="1169">
        <v>4.04</v>
      </c>
      <c r="G47" s="1169">
        <v>2.61</v>
      </c>
      <c r="H47" s="1169">
        <v>80.400000000000006</v>
      </c>
      <c r="I47" s="1169">
        <v>634</v>
      </c>
      <c r="J47" s="1169">
        <v>64.900000000000006</v>
      </c>
      <c r="K47" s="1169">
        <f t="shared" si="1"/>
        <v>1</v>
      </c>
      <c r="L47" s="1196" t="s">
        <v>384</v>
      </c>
      <c r="M47" s="1">
        <v>29</v>
      </c>
      <c r="N47" s="1178">
        <v>64.900000000000006</v>
      </c>
      <c r="S47" s="725"/>
      <c r="T47" s="1425"/>
      <c r="U47" s="1425"/>
      <c r="V47" s="1425"/>
      <c r="W47" s="1425"/>
      <c r="X47" s="1425"/>
      <c r="Y47" s="1425"/>
      <c r="Z47" s="1425"/>
      <c r="AA47" s="1425"/>
      <c r="AB47" s="1425"/>
      <c r="AC47" s="1425"/>
      <c r="AD47" s="1425"/>
      <c r="AE47" s="1425"/>
      <c r="AF47" s="1425"/>
      <c r="AG47" s="1425"/>
      <c r="AH47" s="1425"/>
      <c r="AI47" s="725"/>
    </row>
    <row r="48" spans="2:35" x14ac:dyDescent="0.25">
      <c r="B48" s="1169"/>
      <c r="C48" s="1169" t="s">
        <v>1217</v>
      </c>
      <c r="D48" s="1169" t="s">
        <v>321</v>
      </c>
      <c r="E48" s="1169">
        <v>130</v>
      </c>
      <c r="F48" s="1169">
        <v>4.07</v>
      </c>
      <c r="G48" s="1169">
        <v>2.65</v>
      </c>
      <c r="H48" s="1169">
        <v>80</v>
      </c>
      <c r="I48" s="1169">
        <v>668</v>
      </c>
      <c r="J48" s="1169">
        <v>74.599999999999994</v>
      </c>
      <c r="K48" s="1169">
        <f t="shared" si="1"/>
        <v>1</v>
      </c>
      <c r="L48" s="1196" t="s">
        <v>321</v>
      </c>
      <c r="M48" s="1">
        <v>24</v>
      </c>
      <c r="N48" s="1178">
        <v>74.599999999999994</v>
      </c>
      <c r="S48" s="725"/>
      <c r="T48" s="1425"/>
      <c r="U48" s="1425"/>
      <c r="V48" s="1425"/>
      <c r="W48" s="1425"/>
      <c r="X48" s="1425"/>
      <c r="Y48" s="1425"/>
      <c r="Z48" s="1425"/>
      <c r="AA48" s="1425"/>
      <c r="AB48" s="1425"/>
      <c r="AC48" s="1425"/>
      <c r="AD48" s="1425"/>
      <c r="AE48" s="1425"/>
      <c r="AF48" s="1425"/>
      <c r="AG48" s="1425"/>
      <c r="AH48" s="1425"/>
      <c r="AI48" s="725"/>
    </row>
    <row r="49" spans="2:35" x14ac:dyDescent="0.25">
      <c r="B49" s="1169"/>
      <c r="C49" s="1169" t="s">
        <v>1239</v>
      </c>
      <c r="D49" s="1169" t="s">
        <v>212</v>
      </c>
      <c r="E49" s="1169">
        <v>126</v>
      </c>
      <c r="F49" s="1169">
        <v>3.96</v>
      </c>
      <c r="G49" s="1169">
        <v>2.7</v>
      </c>
      <c r="H49" s="1169">
        <v>76</v>
      </c>
      <c r="I49" s="1169">
        <v>622</v>
      </c>
      <c r="J49" s="1169">
        <v>70.400000000000006</v>
      </c>
      <c r="K49" s="1169">
        <f t="shared" si="1"/>
        <v>1</v>
      </c>
      <c r="L49" s="1196" t="s">
        <v>212</v>
      </c>
      <c r="M49" s="1">
        <v>13</v>
      </c>
      <c r="N49" s="1178">
        <v>70.400000000000006</v>
      </c>
      <c r="S49" s="725"/>
      <c r="T49" s="1425"/>
      <c r="U49" s="1425"/>
      <c r="V49" s="1425"/>
      <c r="W49" s="1425"/>
      <c r="X49" s="1425"/>
      <c r="Y49" s="1425"/>
      <c r="Z49" s="1425"/>
      <c r="AA49" s="1425"/>
      <c r="AB49" s="1425"/>
      <c r="AC49" s="1425"/>
      <c r="AD49" s="1425"/>
      <c r="AE49" s="1425"/>
      <c r="AF49" s="1425"/>
      <c r="AG49" s="1425"/>
      <c r="AH49" s="1425"/>
      <c r="AI49" s="725"/>
    </row>
    <row r="50" spans="2:35" x14ac:dyDescent="0.25">
      <c r="B50" s="1169"/>
      <c r="C50" s="1169" t="s">
        <v>1221</v>
      </c>
      <c r="D50" s="1169" t="s">
        <v>170</v>
      </c>
      <c r="E50" s="1169">
        <v>127</v>
      </c>
      <c r="F50" s="1169">
        <v>4.1500000000000004</v>
      </c>
      <c r="G50" s="1169">
        <v>2.88</v>
      </c>
      <c r="H50" s="1169">
        <v>81.7</v>
      </c>
      <c r="I50" s="1169">
        <v>699</v>
      </c>
      <c r="J50" s="1169">
        <v>74.2</v>
      </c>
      <c r="K50" s="1169">
        <f t="shared" si="1"/>
        <v>1</v>
      </c>
      <c r="L50" s="1196" t="s">
        <v>170</v>
      </c>
      <c r="M50" s="1">
        <v>11</v>
      </c>
      <c r="N50" s="1178">
        <v>74.2</v>
      </c>
      <c r="S50" s="725"/>
      <c r="T50" s="1425"/>
      <c r="U50" s="1425"/>
      <c r="V50" s="1425"/>
      <c r="W50" s="1425"/>
      <c r="X50" s="1425"/>
      <c r="Y50" s="1425"/>
      <c r="Z50" s="1425"/>
      <c r="AA50" s="1425"/>
      <c r="AB50" s="1425"/>
      <c r="AC50" s="1425"/>
      <c r="AD50" s="1425"/>
      <c r="AE50" s="1425"/>
      <c r="AF50" s="1425"/>
      <c r="AG50" s="1425"/>
      <c r="AH50" s="1425"/>
      <c r="AI50" s="725"/>
    </row>
    <row r="51" spans="2:35" x14ac:dyDescent="0.25">
      <c r="B51" s="1169"/>
      <c r="C51" s="1169" t="s">
        <v>1195</v>
      </c>
      <c r="D51" s="1169" t="s">
        <v>125</v>
      </c>
      <c r="E51" s="1169">
        <v>134</v>
      </c>
      <c r="F51" s="1169">
        <v>3.99</v>
      </c>
      <c r="G51" s="1169">
        <v>2.95</v>
      </c>
      <c r="H51" s="1169">
        <v>78</v>
      </c>
      <c r="I51" s="1169">
        <v>715</v>
      </c>
      <c r="J51" s="1169">
        <v>79.099999999999994</v>
      </c>
      <c r="K51" s="1169">
        <f t="shared" si="1"/>
        <v>1</v>
      </c>
      <c r="L51" s="1196" t="s">
        <v>125</v>
      </c>
      <c r="M51" s="1">
        <v>9</v>
      </c>
      <c r="N51" s="1178">
        <v>79.099999999999994</v>
      </c>
      <c r="S51" s="725"/>
      <c r="T51" s="1425"/>
      <c r="U51" s="1425"/>
      <c r="V51" s="1425"/>
      <c r="W51" s="1425"/>
      <c r="X51" s="1425"/>
      <c r="Y51" s="1425"/>
      <c r="Z51" s="1425"/>
      <c r="AA51" s="1425"/>
      <c r="AB51" s="1425"/>
      <c r="AC51" s="1425"/>
      <c r="AD51" s="1425"/>
      <c r="AE51" s="1425"/>
      <c r="AF51" s="1425"/>
      <c r="AG51" s="1425"/>
      <c r="AH51" s="1425"/>
      <c r="AI51" s="725"/>
    </row>
    <row r="52" spans="2:35" x14ac:dyDescent="0.25">
      <c r="B52" s="1169"/>
      <c r="C52" s="1169" t="s">
        <v>1168</v>
      </c>
      <c r="D52" s="1169" t="s">
        <v>28</v>
      </c>
      <c r="E52" s="1169">
        <v>171</v>
      </c>
      <c r="F52" s="1169">
        <v>3.84</v>
      </c>
      <c r="G52" s="1169">
        <v>3.23</v>
      </c>
      <c r="H52" s="1169">
        <v>84.7</v>
      </c>
      <c r="I52" s="1169">
        <v>795</v>
      </c>
      <c r="J52" s="1169">
        <v>86.7</v>
      </c>
      <c r="K52" s="1169">
        <f t="shared" si="1"/>
        <v>1</v>
      </c>
      <c r="L52" s="1196" t="s">
        <v>28</v>
      </c>
      <c r="M52" s="1">
        <v>1</v>
      </c>
      <c r="N52" s="1178">
        <v>86.7</v>
      </c>
      <c r="S52" s="725"/>
      <c r="T52" s="1425"/>
      <c r="U52" s="1425"/>
      <c r="V52" s="1425"/>
      <c r="W52" s="1425"/>
      <c r="X52" s="1425"/>
      <c r="Y52" s="1425"/>
      <c r="Z52" s="1425"/>
      <c r="AA52" s="1425"/>
      <c r="AB52" s="1425"/>
      <c r="AC52" s="1425"/>
      <c r="AD52" s="1425"/>
      <c r="AE52" s="1425"/>
      <c r="AF52" s="1425"/>
      <c r="AG52" s="1425"/>
      <c r="AH52" s="1425"/>
      <c r="AI52" s="725"/>
    </row>
    <row r="53" spans="2:35" x14ac:dyDescent="0.25">
      <c r="B53" s="1169"/>
      <c r="C53" s="1169" t="s">
        <v>1229</v>
      </c>
      <c r="D53" s="1169" t="s">
        <v>302</v>
      </c>
      <c r="E53" s="1169">
        <v>123</v>
      </c>
      <c r="F53" s="1169">
        <v>4.0199999999999996</v>
      </c>
      <c r="G53" s="1169">
        <v>2.7</v>
      </c>
      <c r="H53" s="1169">
        <v>64.099999999999994</v>
      </c>
      <c r="I53" s="1169">
        <v>601</v>
      </c>
      <c r="J53" s="1169">
        <v>72.5</v>
      </c>
      <c r="K53" s="1169">
        <f t="shared" si="1"/>
        <v>1</v>
      </c>
      <c r="L53" s="1196" t="s">
        <v>302</v>
      </c>
      <c r="M53" s="1">
        <v>21</v>
      </c>
      <c r="N53" s="1178">
        <v>72.5</v>
      </c>
      <c r="S53" s="725"/>
      <c r="T53" s="1425"/>
      <c r="U53" s="1425"/>
      <c r="V53" s="1425"/>
      <c r="W53" s="1425"/>
      <c r="X53" s="1425"/>
      <c r="Y53" s="1425"/>
      <c r="Z53" s="1425"/>
      <c r="AA53" s="1425"/>
      <c r="AB53" s="1425"/>
      <c r="AC53" s="1425"/>
      <c r="AD53" s="1425"/>
      <c r="AE53" s="1425"/>
      <c r="AF53" s="1425"/>
      <c r="AG53" s="1425"/>
      <c r="AH53" s="1425"/>
      <c r="AI53" s="725"/>
    </row>
    <row r="54" spans="2:35" x14ac:dyDescent="0.25">
      <c r="B54" s="1169"/>
      <c r="C54" s="1169" t="s">
        <v>1191</v>
      </c>
      <c r="D54" s="1169" t="s">
        <v>173</v>
      </c>
      <c r="E54" s="1169">
        <v>156</v>
      </c>
      <c r="F54" s="1169">
        <v>4.21</v>
      </c>
      <c r="G54" s="1169" t="s">
        <v>1192</v>
      </c>
      <c r="H54" s="1169">
        <v>57.1</v>
      </c>
      <c r="I54" s="1169">
        <v>596</v>
      </c>
      <c r="J54" s="1169">
        <v>79.900000000000006</v>
      </c>
      <c r="K54" s="1169">
        <f t="shared" si="1"/>
        <v>1</v>
      </c>
      <c r="L54" s="1196" t="s">
        <v>173</v>
      </c>
      <c r="M54" s="1">
        <v>11</v>
      </c>
      <c r="N54" s="1178">
        <v>79.900000000000006</v>
      </c>
      <c r="S54" s="725"/>
      <c r="T54" s="1425"/>
      <c r="U54" s="1425"/>
      <c r="V54" s="1425"/>
      <c r="W54" s="1425"/>
      <c r="X54" s="1425"/>
      <c r="Y54" s="1425"/>
      <c r="Z54" s="1425"/>
      <c r="AA54" s="1425"/>
      <c r="AB54" s="1425"/>
      <c r="AC54" s="1425"/>
      <c r="AD54" s="1425"/>
      <c r="AE54" s="1425"/>
      <c r="AF54" s="1425"/>
      <c r="AG54" s="1425"/>
      <c r="AH54" s="1425"/>
      <c r="AI54" s="725"/>
    </row>
    <row r="55" spans="2:35" x14ac:dyDescent="0.25">
      <c r="B55" s="1169"/>
      <c r="C55" s="1169" t="s">
        <v>1241</v>
      </c>
      <c r="D55" s="1169" t="s">
        <v>345</v>
      </c>
      <c r="E55" s="1169">
        <v>112</v>
      </c>
      <c r="F55" s="1169">
        <v>4.0599999999999996</v>
      </c>
      <c r="G55" s="1169">
        <v>2.16</v>
      </c>
      <c r="H55" s="1169">
        <v>63.1</v>
      </c>
      <c r="I55" s="1169">
        <v>498</v>
      </c>
      <c r="J55" s="1169">
        <v>70.3</v>
      </c>
      <c r="K55" s="1169">
        <f t="shared" si="1"/>
        <v>1</v>
      </c>
      <c r="L55" s="1196" t="s">
        <v>345</v>
      </c>
      <c r="M55" s="1">
        <v>26</v>
      </c>
      <c r="N55" s="1178">
        <v>70.3</v>
      </c>
      <c r="S55" s="725"/>
      <c r="T55" s="1425"/>
      <c r="U55" s="1425"/>
      <c r="V55" s="1425"/>
      <c r="W55" s="1425"/>
      <c r="X55" s="1425"/>
      <c r="Y55" s="1425"/>
      <c r="Z55" s="1425"/>
      <c r="AA55" s="1425"/>
      <c r="AB55" s="1425"/>
      <c r="AC55" s="1425"/>
      <c r="AD55" s="1425"/>
      <c r="AE55" s="1425"/>
      <c r="AF55" s="1425"/>
      <c r="AG55" s="1425"/>
      <c r="AH55" s="1425"/>
      <c r="AI55" s="725"/>
    </row>
    <row r="56" spans="2:35" x14ac:dyDescent="0.25">
      <c r="B56" s="1169"/>
      <c r="C56" s="1169" t="s">
        <v>1194</v>
      </c>
      <c r="D56" s="1169" t="s">
        <v>968</v>
      </c>
      <c r="E56" s="1169">
        <v>108</v>
      </c>
      <c r="F56" s="1169">
        <v>4.1100000000000003</v>
      </c>
      <c r="G56" s="1169">
        <v>2.0099999999999998</v>
      </c>
      <c r="H56" s="1169">
        <v>67.900000000000006</v>
      </c>
      <c r="I56" s="1169">
        <v>541</v>
      </c>
      <c r="J56" s="1169">
        <v>79.3</v>
      </c>
      <c r="K56" s="1169">
        <f t="shared" si="1"/>
        <v>1</v>
      </c>
      <c r="L56" s="1201" t="s">
        <v>968</v>
      </c>
      <c r="M56" s="1">
        <v>14</v>
      </c>
      <c r="N56" s="1178">
        <v>79.3</v>
      </c>
      <c r="S56" s="725"/>
      <c r="T56" s="1425"/>
      <c r="U56" s="1425"/>
      <c r="V56" s="1425"/>
      <c r="W56" s="1425"/>
      <c r="X56" s="1425"/>
      <c r="Y56" s="1425"/>
      <c r="Z56" s="1425"/>
      <c r="AA56" s="1425"/>
      <c r="AB56" s="1425"/>
      <c r="AC56" s="1425"/>
      <c r="AD56" s="1425"/>
      <c r="AE56" s="1425"/>
      <c r="AF56" s="1425"/>
      <c r="AG56" s="1425"/>
      <c r="AH56" s="1425"/>
      <c r="AI56" s="725"/>
    </row>
    <row r="57" spans="2:35" x14ac:dyDescent="0.25">
      <c r="B57" s="1169"/>
      <c r="C57" s="1169" t="s">
        <v>1182</v>
      </c>
      <c r="D57" s="1169" t="s">
        <v>177</v>
      </c>
      <c r="E57" s="1169">
        <v>133</v>
      </c>
      <c r="F57" s="1169">
        <v>3.97</v>
      </c>
      <c r="G57" s="1169">
        <v>2.93</v>
      </c>
      <c r="H57" s="1169">
        <v>74.900000000000006</v>
      </c>
      <c r="I57" s="1169">
        <v>726</v>
      </c>
      <c r="J57" s="1169">
        <v>78.400000000000006</v>
      </c>
      <c r="K57" s="1169">
        <f t="shared" si="1"/>
        <v>1</v>
      </c>
      <c r="L57" s="1196" t="s">
        <v>177</v>
      </c>
      <c r="M57" s="1">
        <v>11</v>
      </c>
      <c r="N57" s="1178">
        <v>78.400000000000006</v>
      </c>
      <c r="S57" s="725"/>
      <c r="T57" s="1425"/>
      <c r="U57" s="1425"/>
      <c r="V57" s="1425"/>
      <c r="W57" s="1425"/>
      <c r="X57" s="1425"/>
      <c r="Y57" s="1425"/>
      <c r="Z57" s="1425"/>
      <c r="AA57" s="1425"/>
      <c r="AB57" s="1425"/>
      <c r="AC57" s="1425"/>
      <c r="AD57" s="1425"/>
      <c r="AE57" s="1425"/>
      <c r="AF57" s="1425"/>
      <c r="AG57" s="1425"/>
      <c r="AH57" s="1425"/>
      <c r="AI57" s="725"/>
    </row>
    <row r="58" spans="2:35" x14ac:dyDescent="0.25">
      <c r="B58" s="1169"/>
      <c r="C58" s="1169" t="s">
        <v>1214</v>
      </c>
      <c r="D58" s="1169" t="s">
        <v>972</v>
      </c>
      <c r="E58" s="1169">
        <v>128</v>
      </c>
      <c r="F58" s="1169">
        <v>4.17</v>
      </c>
      <c r="G58" s="1169">
        <v>2.54</v>
      </c>
      <c r="H58" s="1169">
        <v>81.5</v>
      </c>
      <c r="I58" s="1169">
        <v>735</v>
      </c>
      <c r="J58" s="1169">
        <v>75.099999999999994</v>
      </c>
      <c r="K58" s="1169">
        <f t="shared" si="1"/>
        <v>1</v>
      </c>
      <c r="L58" s="1201" t="s">
        <v>972</v>
      </c>
      <c r="M58" s="1">
        <v>35</v>
      </c>
      <c r="N58" s="1178">
        <v>75.099999999999994</v>
      </c>
      <c r="S58" s="725"/>
      <c r="T58" s="1425"/>
      <c r="U58" s="1425"/>
      <c r="V58" s="1425"/>
      <c r="W58" s="1425"/>
      <c r="X58" s="1425"/>
      <c r="Y58" s="1425"/>
      <c r="Z58" s="1425"/>
      <c r="AA58" s="1425"/>
      <c r="AB58" s="1425"/>
      <c r="AC58" s="1425"/>
      <c r="AD58" s="1425"/>
      <c r="AE58" s="1425"/>
      <c r="AF58" s="1425"/>
      <c r="AG58" s="1425"/>
      <c r="AH58" s="1425"/>
      <c r="AI58" s="725"/>
    </row>
    <row r="59" spans="2:35" x14ac:dyDescent="0.25">
      <c r="B59" s="1169"/>
      <c r="C59" s="1169" t="s">
        <v>1186</v>
      </c>
      <c r="D59" s="1169" t="s">
        <v>219</v>
      </c>
      <c r="E59" s="1169">
        <v>145</v>
      </c>
      <c r="F59" s="1169">
        <v>4.08</v>
      </c>
      <c r="G59" s="1169">
        <v>3.06</v>
      </c>
      <c r="H59" s="1169">
        <v>85.3</v>
      </c>
      <c r="I59" s="1169">
        <v>776</v>
      </c>
      <c r="J59" s="1169">
        <v>80.599999999999994</v>
      </c>
      <c r="K59" s="1169">
        <f t="shared" si="1"/>
        <v>1</v>
      </c>
      <c r="L59" s="1196" t="s">
        <v>219</v>
      </c>
      <c r="M59" s="1">
        <v>13</v>
      </c>
      <c r="N59" s="1178">
        <v>80.599999999999994</v>
      </c>
      <c r="S59" s="725"/>
      <c r="T59" s="1425"/>
      <c r="U59" s="1425"/>
      <c r="V59" s="1425"/>
      <c r="W59" s="1425"/>
      <c r="X59" s="1425"/>
      <c r="Y59" s="1425"/>
      <c r="Z59" s="1425"/>
      <c r="AA59" s="1425"/>
      <c r="AB59" s="1425"/>
      <c r="AC59" s="1425"/>
      <c r="AD59" s="1425"/>
      <c r="AE59" s="1425"/>
      <c r="AF59" s="1425"/>
      <c r="AG59" s="1425"/>
      <c r="AH59" s="1425"/>
      <c r="AI59" s="725"/>
    </row>
    <row r="60" spans="2:35" x14ac:dyDescent="0.25">
      <c r="B60" s="1169"/>
      <c r="C60" s="1169" t="s">
        <v>1253</v>
      </c>
      <c r="D60" s="1169" t="s">
        <v>966</v>
      </c>
      <c r="E60" s="1169">
        <v>118</v>
      </c>
      <c r="F60" s="1169">
        <v>4.21</v>
      </c>
      <c r="G60" s="1169">
        <v>2.21</v>
      </c>
      <c r="H60" s="1169">
        <v>83.7</v>
      </c>
      <c r="I60" s="1169">
        <v>674</v>
      </c>
      <c r="J60" s="1169">
        <v>68</v>
      </c>
      <c r="K60" s="1169">
        <f t="shared" si="1"/>
        <v>1</v>
      </c>
      <c r="L60" s="1201" t="s">
        <v>966</v>
      </c>
      <c r="M60" s="1">
        <v>11</v>
      </c>
      <c r="N60" s="1178">
        <v>68</v>
      </c>
      <c r="S60" s="725"/>
      <c r="T60" s="1425"/>
      <c r="U60" s="1425"/>
      <c r="V60" s="1425"/>
      <c r="W60" s="1425"/>
      <c r="X60" s="1425"/>
      <c r="Y60" s="1425"/>
      <c r="Z60" s="1425"/>
      <c r="AA60" s="1425"/>
      <c r="AB60" s="1425"/>
      <c r="AC60" s="1425"/>
      <c r="AD60" s="1425"/>
      <c r="AE60" s="1425"/>
      <c r="AF60" s="1425"/>
      <c r="AG60" s="1425"/>
      <c r="AH60" s="1425"/>
      <c r="AI60" s="725"/>
    </row>
    <row r="61" spans="2:35" x14ac:dyDescent="0.25">
      <c r="B61" s="1169"/>
      <c r="C61" s="1169" t="s">
        <v>1223</v>
      </c>
      <c r="D61" s="1174" t="s">
        <v>254</v>
      </c>
      <c r="E61" s="1169">
        <v>141</v>
      </c>
      <c r="F61" s="1169">
        <v>4.05</v>
      </c>
      <c r="G61" s="1169">
        <v>2.79</v>
      </c>
      <c r="H61" s="1169">
        <v>74.7</v>
      </c>
      <c r="I61" s="1169">
        <v>661</v>
      </c>
      <c r="J61" s="1169">
        <v>73.8</v>
      </c>
      <c r="K61" s="1169">
        <f t="shared" si="1"/>
        <v>1</v>
      </c>
      <c r="L61" s="1196" t="s">
        <v>254</v>
      </c>
      <c r="M61" s="1">
        <v>14</v>
      </c>
      <c r="N61" s="1178">
        <v>73.8</v>
      </c>
      <c r="S61" s="725"/>
      <c r="T61" s="1425"/>
      <c r="U61" s="1425"/>
      <c r="V61" s="1425"/>
      <c r="W61" s="1425"/>
      <c r="X61" s="1425"/>
      <c r="Y61" s="1425"/>
      <c r="Z61" s="1425"/>
      <c r="AA61" s="1425"/>
      <c r="AB61" s="1425"/>
      <c r="AC61" s="1425"/>
      <c r="AD61" s="1425"/>
      <c r="AE61" s="1425"/>
      <c r="AF61" s="1425"/>
      <c r="AG61" s="1425"/>
      <c r="AH61" s="1425"/>
      <c r="AI61" s="725"/>
    </row>
    <row r="62" spans="2:35" x14ac:dyDescent="0.25">
      <c r="B62" s="1169"/>
      <c r="C62" s="1169" t="s">
        <v>1268</v>
      </c>
      <c r="D62" s="102" t="s">
        <v>388</v>
      </c>
      <c r="E62" s="1169">
        <v>99</v>
      </c>
      <c r="F62" s="1169">
        <v>4</v>
      </c>
      <c r="G62" s="1169">
        <v>2.44</v>
      </c>
      <c r="H62" s="1169">
        <v>69.099999999999994</v>
      </c>
      <c r="I62" s="1169">
        <v>473</v>
      </c>
      <c r="J62" s="1169">
        <v>60.8</v>
      </c>
      <c r="K62" s="1169">
        <f t="shared" si="1"/>
        <v>1</v>
      </c>
      <c r="L62" s="1203" t="s">
        <v>388</v>
      </c>
      <c r="M62" s="1">
        <v>29</v>
      </c>
      <c r="N62" s="1178">
        <v>60.8</v>
      </c>
      <c r="S62" s="725"/>
      <c r="T62" s="1425"/>
      <c r="U62" s="1425"/>
      <c r="V62" s="1425"/>
      <c r="W62" s="1425"/>
      <c r="X62" s="1425"/>
      <c r="Y62" s="1425"/>
      <c r="Z62" s="1425"/>
      <c r="AA62" s="1425"/>
      <c r="AB62" s="1425"/>
      <c r="AC62" s="1425"/>
      <c r="AD62" s="1425"/>
      <c r="AE62" s="1425"/>
      <c r="AF62" s="1425"/>
      <c r="AG62" s="1425"/>
      <c r="AH62" s="1425"/>
      <c r="AI62" s="725"/>
    </row>
    <row r="63" spans="2:35" x14ac:dyDescent="0.25">
      <c r="B63" s="1169"/>
      <c r="C63" s="1169" t="s">
        <v>1245</v>
      </c>
      <c r="D63" s="1169" t="s">
        <v>273</v>
      </c>
      <c r="E63" s="1169">
        <v>115</v>
      </c>
      <c r="F63" s="1169">
        <v>3.95</v>
      </c>
      <c r="G63" s="1169">
        <v>2.52</v>
      </c>
      <c r="H63" s="1169">
        <v>87.7</v>
      </c>
      <c r="I63" s="1169">
        <v>613</v>
      </c>
      <c r="J63" s="1169">
        <v>69.5</v>
      </c>
      <c r="K63" s="1169">
        <f t="shared" si="1"/>
        <v>1</v>
      </c>
      <c r="L63" s="1196" t="s">
        <v>273</v>
      </c>
      <c r="M63" s="1">
        <v>7</v>
      </c>
      <c r="N63" s="1178">
        <v>69.5</v>
      </c>
      <c r="S63" s="725"/>
      <c r="T63" s="1425"/>
      <c r="U63" s="1425"/>
      <c r="V63" s="1425"/>
      <c r="W63" s="1425"/>
      <c r="X63" s="1425"/>
      <c r="Y63" s="1425"/>
      <c r="Z63" s="1425"/>
      <c r="AA63" s="1425"/>
      <c r="AB63" s="1425"/>
      <c r="AC63" s="1425"/>
      <c r="AD63" s="1425"/>
      <c r="AE63" s="1425"/>
      <c r="AF63" s="1425"/>
      <c r="AG63" s="1425"/>
      <c r="AH63" s="1425"/>
      <c r="AI63" s="725"/>
    </row>
    <row r="64" spans="2:35" x14ac:dyDescent="0.25">
      <c r="B64" s="1169"/>
      <c r="C64" s="1169" t="s">
        <v>1159</v>
      </c>
      <c r="D64" s="1169" t="s">
        <v>51</v>
      </c>
      <c r="E64" s="1169">
        <v>189</v>
      </c>
      <c r="F64" s="1169">
        <v>3.67</v>
      </c>
      <c r="G64" s="1169">
        <v>3.35</v>
      </c>
      <c r="H64" s="1169">
        <v>86.1</v>
      </c>
      <c r="I64" s="1169">
        <v>934</v>
      </c>
      <c r="J64" s="1169">
        <v>90.5</v>
      </c>
      <c r="K64" s="1169">
        <f t="shared" si="1"/>
        <v>1</v>
      </c>
      <c r="L64" s="1196" t="s">
        <v>51</v>
      </c>
      <c r="M64" s="1">
        <v>4</v>
      </c>
      <c r="N64" s="1178">
        <v>90.5</v>
      </c>
      <c r="S64" s="725"/>
      <c r="T64" s="1425"/>
      <c r="U64" s="1425"/>
      <c r="V64" s="1425"/>
      <c r="W64" s="1425"/>
      <c r="X64" s="1425"/>
      <c r="Y64" s="1425"/>
      <c r="Z64" s="1425"/>
      <c r="AA64" s="1425"/>
      <c r="AB64" s="1425"/>
      <c r="AC64" s="1425"/>
      <c r="AD64" s="1425"/>
      <c r="AE64" s="1425"/>
      <c r="AF64" s="1425"/>
      <c r="AG64" s="1425"/>
      <c r="AH64" s="1425"/>
      <c r="AI64" s="725"/>
    </row>
    <row r="65" spans="2:35" x14ac:dyDescent="0.25">
      <c r="B65" s="1169"/>
      <c r="C65" s="1169" t="s">
        <v>1225</v>
      </c>
      <c r="D65" s="102" t="s">
        <v>257</v>
      </c>
      <c r="E65" s="1169">
        <v>133</v>
      </c>
      <c r="F65" s="1169">
        <v>4.0199999999999996</v>
      </c>
      <c r="G65" s="1169">
        <v>2.74</v>
      </c>
      <c r="H65" s="1169">
        <v>71.099999999999994</v>
      </c>
      <c r="I65" s="1169">
        <v>688</v>
      </c>
      <c r="J65" s="1169">
        <v>73.2</v>
      </c>
      <c r="K65" s="1169">
        <f t="shared" si="1"/>
        <v>1</v>
      </c>
      <c r="L65" s="1198" t="s">
        <v>257</v>
      </c>
      <c r="M65" s="1">
        <v>14</v>
      </c>
      <c r="N65" s="1178">
        <v>73.2</v>
      </c>
      <c r="S65" s="725"/>
      <c r="T65" s="1425"/>
      <c r="U65" s="1425"/>
      <c r="V65" s="1425"/>
      <c r="W65" s="1425"/>
      <c r="X65" s="1425"/>
      <c r="Y65" s="1425"/>
      <c r="Z65" s="1425"/>
      <c r="AA65" s="1425"/>
      <c r="AB65" s="1425"/>
      <c r="AC65" s="1425"/>
      <c r="AD65" s="1425"/>
      <c r="AE65" s="1425"/>
      <c r="AF65" s="1425"/>
      <c r="AG65" s="1425"/>
      <c r="AH65" s="1425"/>
      <c r="AI65" s="725"/>
    </row>
    <row r="66" spans="2:35" x14ac:dyDescent="0.25">
      <c r="B66" s="1169"/>
      <c r="C66" s="1169" t="s">
        <v>1257</v>
      </c>
      <c r="D66" s="1169" t="s">
        <v>64</v>
      </c>
      <c r="E66" s="1169">
        <v>122</v>
      </c>
      <c r="F66" s="1169">
        <v>3.92</v>
      </c>
      <c r="G66" s="1169">
        <v>2.58</v>
      </c>
      <c r="H66" s="1169">
        <v>73.5</v>
      </c>
      <c r="I66" s="1169">
        <v>606</v>
      </c>
      <c r="J66" s="1169">
        <v>67.2</v>
      </c>
      <c r="K66" s="1169">
        <f t="shared" si="1"/>
        <v>1</v>
      </c>
      <c r="L66" s="1202" t="s">
        <v>64</v>
      </c>
      <c r="M66" s="1">
        <v>6</v>
      </c>
      <c r="N66" s="1178">
        <v>67.2</v>
      </c>
      <c r="S66" s="725"/>
      <c r="T66" s="1425"/>
      <c r="U66" s="1425"/>
      <c r="V66" s="1425"/>
      <c r="W66" s="1425"/>
      <c r="X66" s="1425"/>
      <c r="Y66" s="1425"/>
      <c r="Z66" s="1425"/>
      <c r="AA66" s="1425"/>
      <c r="AB66" s="1425"/>
      <c r="AC66" s="1425"/>
      <c r="AD66" s="1425"/>
      <c r="AE66" s="1425"/>
      <c r="AF66" s="1425"/>
      <c r="AG66" s="1425"/>
      <c r="AH66" s="1425"/>
      <c r="AI66" s="725"/>
    </row>
    <row r="67" spans="2:35" x14ac:dyDescent="0.25">
      <c r="B67" s="1169"/>
      <c r="C67" s="1169" t="s">
        <v>1267</v>
      </c>
      <c r="D67" s="102" t="s">
        <v>128</v>
      </c>
      <c r="E67" s="1169">
        <v>117</v>
      </c>
      <c r="F67" s="1169">
        <v>4.0199999999999996</v>
      </c>
      <c r="G67" s="1169">
        <v>2.13</v>
      </c>
      <c r="H67" s="1169">
        <v>64.2</v>
      </c>
      <c r="I67" s="1169">
        <v>475</v>
      </c>
      <c r="J67" s="1169">
        <v>60.9</v>
      </c>
      <c r="K67" s="1169">
        <f t="shared" ref="K67:K98" si="2">IF(L67=D67,1,0)</f>
        <v>1</v>
      </c>
      <c r="L67" s="1196" t="s">
        <v>128</v>
      </c>
      <c r="M67" s="1">
        <v>9</v>
      </c>
      <c r="N67" s="1178">
        <v>60.9</v>
      </c>
      <c r="S67" s="725"/>
      <c r="T67" s="1425"/>
      <c r="U67" s="1425"/>
      <c r="V67" s="1425"/>
      <c r="W67" s="1425"/>
      <c r="X67" s="1425"/>
      <c r="Y67" s="1425"/>
      <c r="Z67" s="1425"/>
      <c r="AA67" s="1425"/>
      <c r="AB67" s="1425"/>
      <c r="AC67" s="1425"/>
      <c r="AD67" s="1425"/>
      <c r="AE67" s="1425"/>
      <c r="AF67" s="1425"/>
      <c r="AG67" s="1425"/>
      <c r="AH67" s="1425"/>
      <c r="AI67" s="725"/>
    </row>
    <row r="68" spans="2:35" x14ac:dyDescent="0.25">
      <c r="B68" s="1169"/>
      <c r="C68" s="1169" t="s">
        <v>1251</v>
      </c>
      <c r="D68" s="962" t="s">
        <v>132</v>
      </c>
      <c r="E68" s="1169">
        <v>105</v>
      </c>
      <c r="F68" s="1169">
        <v>4.01</v>
      </c>
      <c r="G68" s="1169">
        <v>2.09</v>
      </c>
      <c r="H68" s="1169">
        <v>67.8</v>
      </c>
      <c r="I68" s="1169">
        <v>553</v>
      </c>
      <c r="J68" s="1169">
        <v>68</v>
      </c>
      <c r="K68" s="1169">
        <f t="shared" si="2"/>
        <v>1</v>
      </c>
      <c r="L68" s="1196" t="s">
        <v>132</v>
      </c>
      <c r="M68" s="1">
        <v>9</v>
      </c>
      <c r="N68" s="1178">
        <v>68</v>
      </c>
      <c r="S68" s="725"/>
      <c r="T68" s="1425"/>
      <c r="U68" s="1425"/>
      <c r="V68" s="1425"/>
      <c r="W68" s="1425"/>
      <c r="X68" s="1425"/>
      <c r="Y68" s="1425"/>
      <c r="Z68" s="1425"/>
      <c r="AA68" s="1425"/>
      <c r="AB68" s="1425"/>
      <c r="AC68" s="1425"/>
      <c r="AD68" s="1425"/>
      <c r="AE68" s="1425"/>
      <c r="AF68" s="1425"/>
      <c r="AG68" s="1425"/>
      <c r="AH68" s="1425"/>
      <c r="AI68" s="725"/>
    </row>
    <row r="69" spans="2:35" x14ac:dyDescent="0.25">
      <c r="B69" s="1169"/>
      <c r="C69" s="1169" t="s">
        <v>1219</v>
      </c>
      <c r="D69" s="1169" t="s">
        <v>428</v>
      </c>
      <c r="E69" s="1169">
        <v>134</v>
      </c>
      <c r="F69" s="1169">
        <v>4.1399999999999997</v>
      </c>
      <c r="G69" s="1169">
        <v>2.59</v>
      </c>
      <c r="H69" s="1169">
        <v>81.7</v>
      </c>
      <c r="I69" s="1169">
        <v>753</v>
      </c>
      <c r="J69" s="1169">
        <v>74.400000000000006</v>
      </c>
      <c r="K69" s="1169">
        <f t="shared" si="2"/>
        <v>1</v>
      </c>
      <c r="L69" s="1201" t="s">
        <v>428</v>
      </c>
      <c r="M69" s="1">
        <v>35</v>
      </c>
      <c r="N69" s="1178">
        <v>74.400000000000006</v>
      </c>
      <c r="S69" s="725"/>
      <c r="T69" s="1425"/>
      <c r="U69" s="1425"/>
      <c r="V69" s="1425"/>
      <c r="W69" s="1425"/>
      <c r="X69" s="1425"/>
      <c r="Y69" s="1425"/>
      <c r="Z69" s="1425"/>
      <c r="AA69" s="1425"/>
      <c r="AB69" s="1425"/>
      <c r="AC69" s="1425"/>
      <c r="AD69" s="1425"/>
      <c r="AE69" s="1425"/>
      <c r="AF69" s="1425"/>
      <c r="AG69" s="1425"/>
      <c r="AH69" s="1425"/>
      <c r="AI69" s="725"/>
    </row>
    <row r="70" spans="2:35" x14ac:dyDescent="0.25">
      <c r="B70" s="1169"/>
      <c r="C70" s="1169" t="s">
        <v>1232</v>
      </c>
      <c r="D70" s="102" t="s">
        <v>260</v>
      </c>
      <c r="E70" s="1169">
        <v>135</v>
      </c>
      <c r="F70" s="1169">
        <v>4.0599999999999996</v>
      </c>
      <c r="G70" s="1169">
        <v>2.69</v>
      </c>
      <c r="H70" s="1169">
        <v>60.5</v>
      </c>
      <c r="I70" s="1169">
        <v>630</v>
      </c>
      <c r="J70" s="1169">
        <v>71.8</v>
      </c>
      <c r="K70" s="1169">
        <f t="shared" si="2"/>
        <v>1</v>
      </c>
      <c r="L70" s="1196" t="s">
        <v>260</v>
      </c>
      <c r="M70" s="1">
        <v>14</v>
      </c>
      <c r="N70" s="1178">
        <v>71.8</v>
      </c>
      <c r="S70" s="725"/>
      <c r="T70" s="1425"/>
      <c r="U70" s="1425"/>
      <c r="V70" s="1425"/>
      <c r="W70" s="1425"/>
      <c r="X70" s="1425"/>
      <c r="Y70" s="1425"/>
      <c r="Z70" s="1425"/>
      <c r="AA70" s="1425"/>
      <c r="AB70" s="1425"/>
      <c r="AC70" s="1425"/>
      <c r="AD70" s="1425"/>
      <c r="AE70" s="1425"/>
      <c r="AF70" s="1425"/>
      <c r="AG70" s="1425"/>
      <c r="AH70" s="1425"/>
      <c r="AI70" s="725"/>
    </row>
    <row r="71" spans="2:35" x14ac:dyDescent="0.25">
      <c r="B71" s="1169"/>
      <c r="C71" s="1169" t="s">
        <v>1207</v>
      </c>
      <c r="D71" s="139" t="s">
        <v>963</v>
      </c>
      <c r="E71" s="1169">
        <v>130</v>
      </c>
      <c r="F71" s="1169">
        <v>4.03</v>
      </c>
      <c r="G71" s="1169">
        <v>2.66</v>
      </c>
      <c r="H71" s="1169">
        <v>77.2</v>
      </c>
      <c r="I71" s="1169">
        <v>702</v>
      </c>
      <c r="J71" s="1169">
        <v>75.7</v>
      </c>
      <c r="K71" s="1169">
        <f t="shared" si="2"/>
        <v>1</v>
      </c>
      <c r="L71" s="1196" t="s">
        <v>963</v>
      </c>
      <c r="M71" s="1">
        <v>18</v>
      </c>
      <c r="N71" s="1178">
        <v>75.7</v>
      </c>
      <c r="S71" s="725"/>
      <c r="T71" s="1425"/>
      <c r="U71" s="1425"/>
      <c r="V71" s="1425"/>
      <c r="W71" s="1425"/>
      <c r="X71" s="1425"/>
      <c r="Y71" s="1425"/>
      <c r="Z71" s="1425"/>
      <c r="AA71" s="1425"/>
      <c r="AB71" s="1425"/>
      <c r="AC71" s="1425"/>
      <c r="AD71" s="1425"/>
      <c r="AE71" s="1425"/>
      <c r="AF71" s="1425"/>
      <c r="AG71" s="1425"/>
      <c r="AH71" s="1425"/>
      <c r="AI71" s="725"/>
    </row>
    <row r="72" spans="2:35" x14ac:dyDescent="0.25">
      <c r="B72" s="1169"/>
      <c r="C72" s="1169" t="s">
        <v>1190</v>
      </c>
      <c r="D72" s="1169" t="s">
        <v>44</v>
      </c>
      <c r="E72" s="1169">
        <v>135</v>
      </c>
      <c r="F72" s="1169">
        <v>4.0999999999999996</v>
      </c>
      <c r="G72" s="1169">
        <v>2.74</v>
      </c>
      <c r="H72" s="1169">
        <v>73.5</v>
      </c>
      <c r="I72" s="1169">
        <v>628</v>
      </c>
      <c r="J72" s="1169">
        <v>70.900000000000006</v>
      </c>
      <c r="K72" s="1169">
        <f t="shared" si="2"/>
        <v>1</v>
      </c>
      <c r="L72" s="1196" t="s">
        <v>44</v>
      </c>
      <c r="M72" s="1">
        <v>3</v>
      </c>
      <c r="N72" s="1178">
        <v>70.900000000000006</v>
      </c>
      <c r="S72" s="725"/>
      <c r="T72" s="725"/>
      <c r="U72" s="725"/>
      <c r="V72" s="725"/>
      <c r="W72" s="725"/>
      <c r="X72" s="725"/>
      <c r="Y72" s="725"/>
      <c r="Z72" s="725"/>
      <c r="AA72" s="725"/>
      <c r="AB72" s="725"/>
      <c r="AC72" s="725"/>
      <c r="AD72" s="725"/>
      <c r="AE72" s="725"/>
      <c r="AF72" s="725"/>
      <c r="AG72" s="725"/>
      <c r="AH72" s="725"/>
      <c r="AI72" s="725"/>
    </row>
    <row r="73" spans="2:35" x14ac:dyDescent="0.25">
      <c r="B73" s="1169"/>
      <c r="C73" s="1169" t="s">
        <v>1200</v>
      </c>
      <c r="D73" s="1169" t="s">
        <v>399</v>
      </c>
      <c r="E73" s="1169">
        <v>120</v>
      </c>
      <c r="F73" s="1169">
        <v>4.2300000000000004</v>
      </c>
      <c r="G73" s="1169" t="s">
        <v>1192</v>
      </c>
      <c r="H73" s="1169">
        <v>63.6</v>
      </c>
      <c r="I73" s="1169">
        <v>470</v>
      </c>
      <c r="J73" s="1169">
        <v>77.099999999999994</v>
      </c>
      <c r="K73" s="1169">
        <f t="shared" si="2"/>
        <v>1</v>
      </c>
      <c r="L73" s="1196" t="s">
        <v>399</v>
      </c>
      <c r="M73" s="1">
        <v>32</v>
      </c>
      <c r="N73" s="1178">
        <v>77.099999999999994</v>
      </c>
      <c r="S73" s="725"/>
      <c r="T73" s="725"/>
      <c r="U73" s="725"/>
      <c r="V73" s="725"/>
      <c r="W73" s="725"/>
      <c r="X73" s="725"/>
      <c r="Y73" s="725"/>
      <c r="Z73" s="725"/>
      <c r="AA73" s="725"/>
      <c r="AB73" s="725"/>
      <c r="AC73" s="725"/>
      <c r="AD73" s="725"/>
      <c r="AE73" s="725"/>
      <c r="AF73" s="725"/>
      <c r="AG73" s="725"/>
      <c r="AH73" s="725"/>
      <c r="AI73" s="725"/>
    </row>
    <row r="74" spans="2:35" x14ac:dyDescent="0.25">
      <c r="B74" s="1169"/>
      <c r="C74" s="1169" t="s">
        <v>1205</v>
      </c>
      <c r="D74" s="1174" t="s">
        <v>312</v>
      </c>
      <c r="E74" s="1169">
        <v>115</v>
      </c>
      <c r="F74" s="1169">
        <v>4.1100000000000003</v>
      </c>
      <c r="G74" s="1169">
        <v>2.75</v>
      </c>
      <c r="H74" s="1169">
        <v>85.2</v>
      </c>
      <c r="I74" s="1169">
        <v>698</v>
      </c>
      <c r="J74" s="1169">
        <v>75</v>
      </c>
      <c r="K74" s="1169">
        <f t="shared" si="2"/>
        <v>1</v>
      </c>
      <c r="L74" s="1196" t="s">
        <v>312</v>
      </c>
      <c r="M74" s="1">
        <v>22</v>
      </c>
      <c r="N74" s="1178">
        <v>75</v>
      </c>
    </row>
    <row r="75" spans="2:35" x14ac:dyDescent="0.25">
      <c r="B75" s="1169"/>
      <c r="C75" s="1169" t="s">
        <v>1175</v>
      </c>
      <c r="D75" s="65" t="s">
        <v>34</v>
      </c>
      <c r="E75" s="1169">
        <v>150</v>
      </c>
      <c r="F75" s="1169">
        <v>3.97</v>
      </c>
      <c r="G75" s="1169">
        <v>2.99</v>
      </c>
      <c r="H75" s="1169">
        <v>82.4</v>
      </c>
      <c r="I75" s="1169">
        <v>755</v>
      </c>
      <c r="J75" s="1169">
        <v>84</v>
      </c>
      <c r="K75" s="1169">
        <f t="shared" si="2"/>
        <v>1</v>
      </c>
      <c r="L75" s="1203" t="s">
        <v>34</v>
      </c>
      <c r="M75" s="1">
        <v>2</v>
      </c>
      <c r="N75" s="1178">
        <v>84</v>
      </c>
    </row>
    <row r="76" spans="2:35" x14ac:dyDescent="0.25">
      <c r="B76" s="1169"/>
      <c r="C76" s="1169" t="s">
        <v>1196</v>
      </c>
      <c r="D76" s="1174" t="s">
        <v>277</v>
      </c>
      <c r="E76" s="1169">
        <v>149</v>
      </c>
      <c r="F76" s="1169">
        <v>3.98</v>
      </c>
      <c r="G76" s="1169">
        <v>2.65</v>
      </c>
      <c r="H76" s="1169">
        <v>72.900000000000006</v>
      </c>
      <c r="I76" s="1169">
        <v>652</v>
      </c>
      <c r="J76" s="1169">
        <v>79</v>
      </c>
      <c r="K76" s="1169">
        <f t="shared" si="2"/>
        <v>1</v>
      </c>
      <c r="L76" s="1196" t="s">
        <v>277</v>
      </c>
      <c r="M76" s="1">
        <v>15</v>
      </c>
      <c r="N76" s="1178">
        <v>79</v>
      </c>
    </row>
    <row r="77" spans="2:35" x14ac:dyDescent="0.25">
      <c r="B77" s="1169"/>
      <c r="C77" s="1169" t="s">
        <v>1179</v>
      </c>
      <c r="D77" s="102" t="s">
        <v>39</v>
      </c>
      <c r="E77" s="1169">
        <v>144</v>
      </c>
      <c r="F77" s="1169">
        <v>3.88</v>
      </c>
      <c r="G77" s="1169">
        <v>3.18</v>
      </c>
      <c r="H77" s="1169">
        <v>78.599999999999994</v>
      </c>
      <c r="I77" s="1169">
        <v>742</v>
      </c>
      <c r="J77" s="1169">
        <v>83.2</v>
      </c>
      <c r="K77" s="1169">
        <f t="shared" si="2"/>
        <v>1</v>
      </c>
      <c r="L77" s="1196" t="s">
        <v>39</v>
      </c>
      <c r="M77" s="1">
        <v>2</v>
      </c>
      <c r="N77" s="1178">
        <v>83.2</v>
      </c>
    </row>
    <row r="78" spans="2:35" x14ac:dyDescent="0.25">
      <c r="B78" s="1169"/>
      <c r="C78" s="1169" t="s">
        <v>1266</v>
      </c>
      <c r="D78" s="139" t="s">
        <v>222</v>
      </c>
      <c r="E78" s="1169">
        <v>118</v>
      </c>
      <c r="F78" s="1169">
        <v>3.9</v>
      </c>
      <c r="G78" s="1169">
        <v>1.4</v>
      </c>
      <c r="H78" s="1169">
        <v>63.3</v>
      </c>
      <c r="I78" s="1169">
        <v>490</v>
      </c>
      <c r="J78" s="1169">
        <v>63.5</v>
      </c>
      <c r="K78" s="1169">
        <f t="shared" si="2"/>
        <v>1</v>
      </c>
      <c r="L78" s="1196" t="s">
        <v>222</v>
      </c>
      <c r="M78" s="1">
        <v>13</v>
      </c>
      <c r="N78" s="1178">
        <v>63.5</v>
      </c>
    </row>
    <row r="79" spans="2:35" x14ac:dyDescent="0.25">
      <c r="B79" s="1169"/>
      <c r="C79" s="1169" t="s">
        <v>1265</v>
      </c>
      <c r="D79" s="1174" t="s">
        <v>405</v>
      </c>
      <c r="E79" s="1169">
        <v>110</v>
      </c>
      <c r="F79" s="1169">
        <v>3.82</v>
      </c>
      <c r="G79" s="1169" t="s">
        <v>1192</v>
      </c>
      <c r="H79" s="1169">
        <v>68.7</v>
      </c>
      <c r="I79" s="1169">
        <v>339</v>
      </c>
      <c r="J79" s="1169">
        <v>63.9</v>
      </c>
      <c r="K79" s="1169">
        <f t="shared" si="2"/>
        <v>1</v>
      </c>
      <c r="L79" s="1196" t="s">
        <v>405</v>
      </c>
      <c r="M79" s="1">
        <v>33</v>
      </c>
      <c r="N79" s="1178">
        <v>63.9</v>
      </c>
    </row>
    <row r="80" spans="2:35" x14ac:dyDescent="0.25">
      <c r="B80" s="1169"/>
      <c r="C80" s="1169" t="s">
        <v>1183</v>
      </c>
      <c r="D80" s="1174" t="s">
        <v>183</v>
      </c>
      <c r="E80" s="1169">
        <v>132</v>
      </c>
      <c r="F80" s="1169">
        <v>3.85</v>
      </c>
      <c r="G80" s="1169">
        <v>3.03</v>
      </c>
      <c r="H80" s="1169">
        <v>75.8</v>
      </c>
      <c r="I80" s="1169">
        <v>746</v>
      </c>
      <c r="J80" s="1169">
        <v>81.7</v>
      </c>
      <c r="K80" s="1169">
        <f t="shared" si="2"/>
        <v>1</v>
      </c>
      <c r="L80" s="1196" t="s">
        <v>183</v>
      </c>
      <c r="M80" s="1">
        <v>11</v>
      </c>
      <c r="N80" s="1178">
        <v>81.7</v>
      </c>
    </row>
    <row r="81" spans="2:14" x14ac:dyDescent="0.25">
      <c r="B81" s="1169"/>
      <c r="C81" s="1169" t="s">
        <v>1242</v>
      </c>
      <c r="D81" s="1174" t="s">
        <v>66</v>
      </c>
      <c r="E81" s="1169">
        <v>153</v>
      </c>
      <c r="F81" s="1169">
        <v>4.04</v>
      </c>
      <c r="G81" s="1169">
        <v>2.35</v>
      </c>
      <c r="H81" s="1169">
        <v>81.099999999999994</v>
      </c>
      <c r="I81" s="1169">
        <v>616</v>
      </c>
      <c r="J81" s="1169">
        <v>69.900000000000006</v>
      </c>
      <c r="K81" s="1169">
        <f t="shared" si="2"/>
        <v>1</v>
      </c>
      <c r="L81" s="1196" t="s">
        <v>66</v>
      </c>
      <c r="M81" s="1">
        <v>6</v>
      </c>
      <c r="N81" s="1178">
        <v>69.900000000000006</v>
      </c>
    </row>
    <row r="82" spans="2:14" x14ac:dyDescent="0.25">
      <c r="B82" s="1169"/>
      <c r="C82" s="1169" t="s">
        <v>1239</v>
      </c>
      <c r="D82" s="102" t="s">
        <v>965</v>
      </c>
      <c r="E82" s="1169">
        <v>111</v>
      </c>
      <c r="F82" s="1169">
        <v>3.98</v>
      </c>
      <c r="G82" s="1169">
        <v>2.83</v>
      </c>
      <c r="H82" s="1169">
        <v>71.5</v>
      </c>
      <c r="I82" s="1169">
        <v>622</v>
      </c>
      <c r="J82" s="1169">
        <v>68.7</v>
      </c>
      <c r="K82" s="1169">
        <f t="shared" si="2"/>
        <v>1</v>
      </c>
      <c r="L82" s="1203" t="s">
        <v>965</v>
      </c>
      <c r="M82" s="1">
        <v>31</v>
      </c>
      <c r="N82" s="1178">
        <v>68.7</v>
      </c>
    </row>
    <row r="83" spans="2:14" x14ac:dyDescent="0.25">
      <c r="B83" s="1169"/>
      <c r="C83" s="1169" t="s">
        <v>1170</v>
      </c>
      <c r="D83" s="102" t="s">
        <v>187</v>
      </c>
      <c r="E83" s="1169">
        <v>141</v>
      </c>
      <c r="F83" s="1169">
        <v>4.0199999999999996</v>
      </c>
      <c r="G83" s="1169">
        <v>3.09</v>
      </c>
      <c r="H83" s="1169">
        <v>73.5</v>
      </c>
      <c r="I83" s="1169">
        <v>798</v>
      </c>
      <c r="J83" s="1169">
        <v>82.6</v>
      </c>
      <c r="K83" s="1169">
        <f t="shared" si="2"/>
        <v>1</v>
      </c>
      <c r="L83" s="1196" t="s">
        <v>187</v>
      </c>
      <c r="M83" s="1">
        <v>11</v>
      </c>
      <c r="N83" s="1178">
        <v>82.6</v>
      </c>
    </row>
    <row r="84" spans="2:14" x14ac:dyDescent="0.25">
      <c r="B84" s="1169"/>
      <c r="C84" s="1169" t="s">
        <v>1224</v>
      </c>
      <c r="D84" s="1169" t="s">
        <v>349</v>
      </c>
      <c r="E84" s="1169">
        <v>130</v>
      </c>
      <c r="F84" s="1169">
        <v>4.08</v>
      </c>
      <c r="G84" s="1169">
        <v>2.54</v>
      </c>
      <c r="H84" s="1169">
        <v>73.099999999999994</v>
      </c>
      <c r="I84" s="1169">
        <v>626</v>
      </c>
      <c r="J84" s="1169">
        <v>73.7</v>
      </c>
      <c r="K84" s="1169">
        <f t="shared" si="2"/>
        <v>1</v>
      </c>
      <c r="L84" s="1196" t="s">
        <v>349</v>
      </c>
      <c r="M84" s="1">
        <v>26</v>
      </c>
      <c r="N84" s="1178">
        <v>73.7</v>
      </c>
    </row>
    <row r="85" spans="2:14" x14ac:dyDescent="0.25">
      <c r="B85" s="1169"/>
      <c r="C85" s="1169" t="s">
        <v>1184</v>
      </c>
      <c r="D85" s="1169" t="s">
        <v>190</v>
      </c>
      <c r="E85" s="1169">
        <v>157</v>
      </c>
      <c r="F85" s="1169">
        <v>4.04</v>
      </c>
      <c r="G85" s="1169">
        <v>3.17</v>
      </c>
      <c r="H85" s="1169">
        <v>84.3</v>
      </c>
      <c r="I85" s="1169">
        <v>767</v>
      </c>
      <c r="J85" s="1169">
        <v>81.5</v>
      </c>
      <c r="K85" s="1169">
        <f t="shared" si="2"/>
        <v>1</v>
      </c>
      <c r="L85" s="1196" t="s">
        <v>190</v>
      </c>
      <c r="M85" s="1">
        <v>11</v>
      </c>
      <c r="N85" s="1178">
        <v>81.5</v>
      </c>
    </row>
    <row r="86" spans="2:14" x14ac:dyDescent="0.25">
      <c r="B86" s="1169"/>
      <c r="C86" s="1169" t="s">
        <v>1216</v>
      </c>
      <c r="D86" s="1174" t="s">
        <v>353</v>
      </c>
      <c r="E86" s="1169">
        <v>119</v>
      </c>
      <c r="F86" s="1169">
        <v>4.07</v>
      </c>
      <c r="G86" s="1169">
        <v>2.76</v>
      </c>
      <c r="H86" s="1169">
        <v>73.5</v>
      </c>
      <c r="I86" s="1169">
        <v>637</v>
      </c>
      <c r="J86" s="1169">
        <v>74.7</v>
      </c>
      <c r="K86" s="1169">
        <f t="shared" si="2"/>
        <v>1</v>
      </c>
      <c r="L86" s="1196" t="s">
        <v>353</v>
      </c>
      <c r="M86" s="1">
        <v>26</v>
      </c>
      <c r="N86" s="1178">
        <v>74.7</v>
      </c>
    </row>
    <row r="87" spans="2:14" x14ac:dyDescent="0.25">
      <c r="B87" s="1169"/>
      <c r="C87" s="1169" t="s">
        <v>1182</v>
      </c>
      <c r="D87" s="102" t="s">
        <v>70</v>
      </c>
      <c r="E87" s="1169">
        <v>154</v>
      </c>
      <c r="F87" s="1169">
        <v>3.95</v>
      </c>
      <c r="G87" s="1169">
        <v>2.82</v>
      </c>
      <c r="H87" s="1169">
        <v>69.8</v>
      </c>
      <c r="I87" s="1169">
        <v>726</v>
      </c>
      <c r="J87" s="1169">
        <v>81.7</v>
      </c>
      <c r="K87" s="1169">
        <f t="shared" si="2"/>
        <v>1</v>
      </c>
      <c r="L87" s="1196" t="s">
        <v>70</v>
      </c>
      <c r="M87" s="1">
        <v>6</v>
      </c>
      <c r="N87" s="1178">
        <v>81.7</v>
      </c>
    </row>
    <row r="88" spans="2:14" x14ac:dyDescent="0.25">
      <c r="B88" s="1169"/>
      <c r="C88" s="1169" t="s">
        <v>1234</v>
      </c>
      <c r="D88" s="1169" t="s">
        <v>336</v>
      </c>
      <c r="E88" s="1169">
        <v>118</v>
      </c>
      <c r="F88" s="1169">
        <v>4.0999999999999996</v>
      </c>
      <c r="G88" s="1169">
        <v>1.63</v>
      </c>
      <c r="H88" s="1169">
        <v>70.2</v>
      </c>
      <c r="I88" s="1169">
        <v>565</v>
      </c>
      <c r="J88" s="1169">
        <v>71.3</v>
      </c>
      <c r="K88" s="1169">
        <f t="shared" si="2"/>
        <v>1</v>
      </c>
      <c r="L88" s="1196" t="s">
        <v>336</v>
      </c>
      <c r="M88" s="1">
        <v>25</v>
      </c>
      <c r="N88" s="1178">
        <v>71.3</v>
      </c>
    </row>
    <row r="89" spans="2:14" x14ac:dyDescent="0.25">
      <c r="B89" s="1169"/>
      <c r="C89" s="1169" t="s">
        <v>1256</v>
      </c>
      <c r="D89" s="1169" t="s">
        <v>378</v>
      </c>
      <c r="E89" s="1169">
        <v>125</v>
      </c>
      <c r="F89" s="1169">
        <v>4.0599999999999996</v>
      </c>
      <c r="G89" s="1169">
        <v>2.5099999999999998</v>
      </c>
      <c r="H89" s="1169">
        <v>63.2</v>
      </c>
      <c r="I89" s="1169">
        <v>537</v>
      </c>
      <c r="J89" s="1169">
        <v>67.3</v>
      </c>
      <c r="K89" s="1169">
        <f t="shared" si="2"/>
        <v>1</v>
      </c>
      <c r="L89" s="1196" t="s">
        <v>378</v>
      </c>
      <c r="M89" s="1">
        <v>28</v>
      </c>
      <c r="N89" s="1178">
        <v>67.3</v>
      </c>
    </row>
    <row r="90" spans="2:14" x14ac:dyDescent="0.25">
      <c r="B90" s="1169"/>
      <c r="C90" s="1169" t="s">
        <v>1171</v>
      </c>
      <c r="D90" s="1169" t="s">
        <v>194</v>
      </c>
      <c r="E90" s="1169">
        <v>161</v>
      </c>
      <c r="F90" s="1169">
        <v>4.03</v>
      </c>
      <c r="G90" s="1169">
        <v>3.15</v>
      </c>
      <c r="H90" s="1169">
        <v>82.1</v>
      </c>
      <c r="I90" s="1169">
        <v>804</v>
      </c>
      <c r="J90" s="1169">
        <v>84.9</v>
      </c>
      <c r="K90" s="1169">
        <f t="shared" si="2"/>
        <v>1</v>
      </c>
      <c r="L90" s="1196" t="s">
        <v>194</v>
      </c>
      <c r="M90" s="1">
        <v>11</v>
      </c>
      <c r="N90" s="1178">
        <v>84.9</v>
      </c>
    </row>
    <row r="91" spans="2:14" x14ac:dyDescent="0.25">
      <c r="B91" s="1169"/>
      <c r="C91" s="1169" t="s">
        <v>801</v>
      </c>
      <c r="D91" s="1174" t="s">
        <v>93</v>
      </c>
      <c r="E91" s="1169">
        <v>207</v>
      </c>
      <c r="F91" s="1169">
        <v>4.26</v>
      </c>
      <c r="G91" s="1169">
        <v>3.13</v>
      </c>
      <c r="H91" s="1169">
        <v>79.7</v>
      </c>
      <c r="I91" s="1169">
        <v>944</v>
      </c>
      <c r="J91" s="1169">
        <v>89.8</v>
      </c>
      <c r="K91" s="1169">
        <f t="shared" si="2"/>
        <v>1</v>
      </c>
      <c r="L91" s="1196" t="s">
        <v>93</v>
      </c>
      <c r="M91" s="1">
        <v>8</v>
      </c>
      <c r="N91" s="1178">
        <v>89.8</v>
      </c>
    </row>
    <row r="92" spans="2:14" x14ac:dyDescent="0.25">
      <c r="B92" s="1169"/>
      <c r="C92" s="1169" t="s">
        <v>1212</v>
      </c>
      <c r="D92" s="1171" t="s">
        <v>974</v>
      </c>
      <c r="E92" s="1169">
        <v>118</v>
      </c>
      <c r="F92" s="1169">
        <v>4.13</v>
      </c>
      <c r="G92" s="1169">
        <v>1.98</v>
      </c>
      <c r="H92" s="1169">
        <v>72.3</v>
      </c>
      <c r="I92" s="1169">
        <v>584</v>
      </c>
      <c r="J92" s="1169">
        <v>75.3</v>
      </c>
      <c r="K92" s="1169">
        <f t="shared" si="2"/>
        <v>1</v>
      </c>
      <c r="L92" s="1201" t="s">
        <v>974</v>
      </c>
      <c r="M92" s="1">
        <v>36</v>
      </c>
      <c r="N92" s="1178">
        <v>75.3</v>
      </c>
    </row>
    <row r="93" spans="2:14" x14ac:dyDescent="0.25">
      <c r="B93" s="1169"/>
      <c r="C93" s="1169" t="s">
        <v>1206</v>
      </c>
      <c r="D93" s="1169" t="s">
        <v>230</v>
      </c>
      <c r="E93" s="1169">
        <v>119</v>
      </c>
      <c r="F93" s="1169">
        <v>4.18</v>
      </c>
      <c r="G93" s="1169">
        <v>2.2000000000000002</v>
      </c>
      <c r="H93" s="1169">
        <v>80.7</v>
      </c>
      <c r="I93" s="1169">
        <v>676</v>
      </c>
      <c r="J93" s="1169">
        <v>72.3</v>
      </c>
      <c r="K93" s="1169">
        <f t="shared" si="2"/>
        <v>1</v>
      </c>
      <c r="L93" s="1196" t="s">
        <v>230</v>
      </c>
      <c r="M93" s="1">
        <v>13</v>
      </c>
      <c r="N93" s="1178">
        <v>72.3</v>
      </c>
    </row>
    <row r="94" spans="2:14" x14ac:dyDescent="0.25">
      <c r="B94" s="1169"/>
      <c r="C94" s="1169" t="s">
        <v>1204</v>
      </c>
      <c r="D94" s="102" t="s">
        <v>961</v>
      </c>
      <c r="E94" s="1169">
        <v>162</v>
      </c>
      <c r="F94" s="1169">
        <v>3.97</v>
      </c>
      <c r="G94" s="1169">
        <v>2.96</v>
      </c>
      <c r="H94" s="1169">
        <v>78.2</v>
      </c>
      <c r="I94" s="1169">
        <v>732</v>
      </c>
      <c r="J94" s="1169">
        <v>76.3</v>
      </c>
      <c r="K94" s="1169">
        <f t="shared" si="2"/>
        <v>1</v>
      </c>
      <c r="L94" s="1204" t="s">
        <v>961</v>
      </c>
      <c r="M94" s="1">
        <v>16</v>
      </c>
      <c r="N94" s="1178">
        <v>76.3</v>
      </c>
    </row>
    <row r="95" spans="2:14" x14ac:dyDescent="0.25">
      <c r="B95" s="1169"/>
      <c r="C95" s="1169" t="s">
        <v>1259</v>
      </c>
      <c r="D95" s="1169" t="s">
        <v>135</v>
      </c>
      <c r="E95" s="1169">
        <v>116</v>
      </c>
      <c r="F95" s="1169">
        <v>3.9</v>
      </c>
      <c r="G95" s="1169" t="s">
        <v>1192</v>
      </c>
      <c r="H95" s="1169">
        <v>64.2</v>
      </c>
      <c r="I95" s="1169">
        <v>421</v>
      </c>
      <c r="J95" s="1169">
        <v>66.8</v>
      </c>
      <c r="K95" s="1169">
        <f t="shared" si="2"/>
        <v>1</v>
      </c>
      <c r="L95" s="1204" t="s">
        <v>135</v>
      </c>
      <c r="M95" s="1">
        <v>9</v>
      </c>
      <c r="N95" s="1178">
        <v>66.8</v>
      </c>
    </row>
    <row r="96" spans="2:14" x14ac:dyDescent="0.25">
      <c r="B96" s="1169"/>
      <c r="C96" s="1169" t="s">
        <v>1243</v>
      </c>
      <c r="D96" s="1169" t="s">
        <v>365</v>
      </c>
      <c r="E96" s="1169">
        <v>116</v>
      </c>
      <c r="F96" s="1169">
        <v>4.05</v>
      </c>
      <c r="G96" s="1169">
        <v>2.12</v>
      </c>
      <c r="H96" s="1169">
        <v>66.400000000000006</v>
      </c>
      <c r="I96" s="1169">
        <v>563</v>
      </c>
      <c r="J96" s="1169">
        <v>64.7</v>
      </c>
      <c r="K96" s="1169">
        <f t="shared" si="2"/>
        <v>1</v>
      </c>
      <c r="L96" s="1204" t="s">
        <v>365</v>
      </c>
      <c r="M96" s="1">
        <v>27</v>
      </c>
      <c r="N96" s="1178">
        <v>64.7</v>
      </c>
    </row>
    <row r="97" spans="2:14" x14ac:dyDescent="0.25">
      <c r="B97" s="1169"/>
      <c r="C97" s="1169" t="s">
        <v>1170</v>
      </c>
      <c r="D97" s="1174" t="s">
        <v>150</v>
      </c>
      <c r="E97" s="1169">
        <v>156</v>
      </c>
      <c r="F97" s="1169">
        <v>4.04</v>
      </c>
      <c r="G97" s="1169">
        <v>2.98</v>
      </c>
      <c r="H97" s="1169">
        <v>80.599999999999994</v>
      </c>
      <c r="I97" s="1169">
        <v>798</v>
      </c>
      <c r="J97" s="1169">
        <v>85</v>
      </c>
      <c r="K97" s="1169">
        <f t="shared" si="2"/>
        <v>1</v>
      </c>
      <c r="L97" s="1196" t="s">
        <v>150</v>
      </c>
      <c r="M97" s="1">
        <v>10</v>
      </c>
      <c r="N97" s="1178">
        <v>85</v>
      </c>
    </row>
    <row r="98" spans="2:14" x14ac:dyDescent="0.25">
      <c r="B98" s="1169"/>
      <c r="C98" s="1169" t="s">
        <v>1210</v>
      </c>
      <c r="D98" s="1169" t="s">
        <v>138</v>
      </c>
      <c r="E98" s="1169">
        <v>148</v>
      </c>
      <c r="F98" s="1169">
        <v>3.91</v>
      </c>
      <c r="G98" s="1169">
        <v>3.01</v>
      </c>
      <c r="H98" s="1169">
        <v>80.400000000000006</v>
      </c>
      <c r="I98" s="1169">
        <v>768</v>
      </c>
      <c r="J98" s="1169">
        <v>75.599999999999994</v>
      </c>
      <c r="K98" s="1169">
        <f t="shared" si="2"/>
        <v>1</v>
      </c>
      <c r="L98" s="1204" t="s">
        <v>138</v>
      </c>
      <c r="M98" s="1">
        <v>9</v>
      </c>
      <c r="N98" s="1178">
        <v>75.599999999999994</v>
      </c>
    </row>
    <row r="99" spans="2:14" x14ac:dyDescent="0.25">
      <c r="B99" s="1169"/>
      <c r="C99" s="1169" t="s">
        <v>1193</v>
      </c>
      <c r="D99" s="1169" t="s">
        <v>402</v>
      </c>
      <c r="E99" s="1169">
        <v>130</v>
      </c>
      <c r="F99" s="1169">
        <v>4.08</v>
      </c>
      <c r="G99" s="1169">
        <v>3.09</v>
      </c>
      <c r="H99" s="1169">
        <v>85.3</v>
      </c>
      <c r="I99" s="1169">
        <v>756</v>
      </c>
      <c r="J99" s="1169">
        <v>78</v>
      </c>
      <c r="K99" s="1169">
        <f t="shared" ref="K99:K114" si="3">IF(L99=D99,1,0)</f>
        <v>1</v>
      </c>
      <c r="L99" s="1204" t="s">
        <v>402</v>
      </c>
      <c r="M99" s="1">
        <v>7</v>
      </c>
      <c r="N99" s="1178">
        <v>78</v>
      </c>
    </row>
    <row r="100" spans="2:14" x14ac:dyDescent="0.25">
      <c r="B100" s="1169"/>
      <c r="C100" s="1169" t="s">
        <v>1252</v>
      </c>
      <c r="D100" s="1169" t="s">
        <v>338</v>
      </c>
      <c r="E100" s="1169">
        <v>117</v>
      </c>
      <c r="F100" s="1169">
        <v>4.08</v>
      </c>
      <c r="G100" s="1169">
        <v>2.58</v>
      </c>
      <c r="H100" s="1169">
        <v>80.900000000000006</v>
      </c>
      <c r="I100" s="1169">
        <v>581</v>
      </c>
      <c r="J100" s="1169">
        <v>68</v>
      </c>
      <c r="K100" s="1169">
        <f t="shared" si="3"/>
        <v>1</v>
      </c>
      <c r="L100" s="1197" t="s">
        <v>338</v>
      </c>
      <c r="M100" s="1">
        <v>25</v>
      </c>
      <c r="N100" s="1178">
        <v>68</v>
      </c>
    </row>
    <row r="101" spans="2:14" x14ac:dyDescent="0.25">
      <c r="B101" s="1169"/>
      <c r="C101" s="1169" t="s">
        <v>1228</v>
      </c>
      <c r="D101" s="102" t="s">
        <v>324</v>
      </c>
      <c r="E101" s="1169">
        <v>111</v>
      </c>
      <c r="F101" s="1169">
        <v>4.18</v>
      </c>
      <c r="G101" s="1169">
        <v>2.39</v>
      </c>
      <c r="H101" s="1169">
        <v>66</v>
      </c>
      <c r="I101" s="1169">
        <v>576</v>
      </c>
      <c r="J101" s="1169">
        <v>72.900000000000006</v>
      </c>
      <c r="K101" s="1169">
        <f t="shared" si="3"/>
        <v>1</v>
      </c>
      <c r="L101" s="1204" t="s">
        <v>324</v>
      </c>
      <c r="M101" s="1">
        <v>24</v>
      </c>
      <c r="N101" s="1178">
        <v>72.900000000000006</v>
      </c>
    </row>
    <row r="102" spans="2:14" x14ac:dyDescent="0.25">
      <c r="B102" s="1169"/>
      <c r="C102" s="1169" t="s">
        <v>1235</v>
      </c>
      <c r="D102" s="140" t="s">
        <v>973</v>
      </c>
      <c r="E102" s="1169">
        <v>133</v>
      </c>
      <c r="F102" s="1169">
        <v>3.91</v>
      </c>
      <c r="G102" s="1169">
        <v>3.12</v>
      </c>
      <c r="H102" s="1169">
        <v>72.099999999999994</v>
      </c>
      <c r="I102" s="1169">
        <v>675</v>
      </c>
      <c r="J102" s="1169">
        <v>71.3</v>
      </c>
      <c r="K102" s="1169">
        <f t="shared" si="3"/>
        <v>1</v>
      </c>
      <c r="L102" s="1205" t="s">
        <v>973</v>
      </c>
      <c r="M102" s="1">
        <v>35</v>
      </c>
      <c r="N102" s="1178">
        <v>71.3</v>
      </c>
    </row>
    <row r="103" spans="2:14" x14ac:dyDescent="0.25">
      <c r="B103" s="1169"/>
      <c r="C103" s="1169" t="s">
        <v>1215</v>
      </c>
      <c r="D103" s="102" t="s">
        <v>263</v>
      </c>
      <c r="E103" s="1169">
        <v>140</v>
      </c>
      <c r="F103" s="1169">
        <v>4.17</v>
      </c>
      <c r="G103" s="1169">
        <v>2.72</v>
      </c>
      <c r="H103" s="1169">
        <v>72.900000000000006</v>
      </c>
      <c r="I103" s="1169">
        <v>723</v>
      </c>
      <c r="J103" s="1169">
        <v>75.099999999999994</v>
      </c>
      <c r="K103" s="1169">
        <f t="shared" si="3"/>
        <v>1</v>
      </c>
      <c r="L103" s="1197" t="s">
        <v>263</v>
      </c>
      <c r="M103" s="1">
        <v>14</v>
      </c>
      <c r="N103" s="1178">
        <v>75.099999999999994</v>
      </c>
    </row>
    <row r="104" spans="2:14" x14ac:dyDescent="0.25">
      <c r="B104" s="1169"/>
      <c r="C104" s="1169" t="s">
        <v>1206</v>
      </c>
      <c r="D104" s="1169" t="s">
        <v>233</v>
      </c>
      <c r="E104" s="1169">
        <v>128</v>
      </c>
      <c r="F104" s="1169">
        <v>4.1399999999999997</v>
      </c>
      <c r="G104" s="1169">
        <v>2.91</v>
      </c>
      <c r="H104" s="1169">
        <v>70.900000000000006</v>
      </c>
      <c r="I104" s="1169">
        <v>676</v>
      </c>
      <c r="J104" s="1169">
        <v>76</v>
      </c>
      <c r="K104" s="1169">
        <f t="shared" si="3"/>
        <v>1</v>
      </c>
      <c r="L104" s="1196" t="s">
        <v>233</v>
      </c>
      <c r="M104" s="1">
        <v>13</v>
      </c>
      <c r="N104" s="1178">
        <v>76</v>
      </c>
    </row>
    <row r="105" spans="2:14" x14ac:dyDescent="0.25">
      <c r="B105" s="1169"/>
      <c r="C105" s="1169" t="s">
        <v>1211</v>
      </c>
      <c r="D105" s="102" t="s">
        <v>357</v>
      </c>
      <c r="E105" s="1169">
        <v>125</v>
      </c>
      <c r="F105" s="1169">
        <v>4.18</v>
      </c>
      <c r="G105" s="1169">
        <v>2.7</v>
      </c>
      <c r="H105" s="1169">
        <v>76.099999999999994</v>
      </c>
      <c r="I105" s="1169">
        <v>693</v>
      </c>
      <c r="J105" s="1169">
        <v>75.400000000000006</v>
      </c>
      <c r="K105" s="1169">
        <f t="shared" si="3"/>
        <v>1</v>
      </c>
      <c r="L105" s="1196" t="s">
        <v>357</v>
      </c>
      <c r="M105" s="1">
        <v>26</v>
      </c>
      <c r="N105" s="1178">
        <v>75.400000000000006</v>
      </c>
    </row>
    <row r="106" spans="2:14" x14ac:dyDescent="0.25">
      <c r="B106" s="1169"/>
      <c r="C106" s="1169" t="s">
        <v>1220</v>
      </c>
      <c r="D106" s="1169" t="s">
        <v>316</v>
      </c>
      <c r="E106" s="1169">
        <v>116</v>
      </c>
      <c r="F106" s="1169">
        <v>4.0199999999999996</v>
      </c>
      <c r="G106" s="1169">
        <v>1.92</v>
      </c>
      <c r="H106" s="1169">
        <v>73.8</v>
      </c>
      <c r="I106" s="1169">
        <v>605</v>
      </c>
      <c r="J106" s="1169">
        <v>74.3</v>
      </c>
      <c r="K106" s="1169">
        <f t="shared" si="3"/>
        <v>1</v>
      </c>
      <c r="L106" s="1196" t="s">
        <v>316</v>
      </c>
      <c r="M106" s="1">
        <v>23</v>
      </c>
      <c r="N106" s="1178">
        <v>74.3</v>
      </c>
    </row>
    <row r="107" spans="2:14" x14ac:dyDescent="0.25">
      <c r="B107" s="1169"/>
      <c r="C107" s="1169" t="s">
        <v>1237</v>
      </c>
      <c r="D107" s="1174" t="s">
        <v>437</v>
      </c>
      <c r="E107" s="1169">
        <v>136</v>
      </c>
      <c r="F107" s="1169">
        <v>4.08</v>
      </c>
      <c r="G107" s="1169">
        <v>2.36</v>
      </c>
      <c r="H107" s="1169">
        <v>80.2</v>
      </c>
      <c r="I107" s="1169">
        <v>567</v>
      </c>
      <c r="J107" s="1169">
        <v>71.3</v>
      </c>
      <c r="K107" s="1169">
        <f t="shared" si="3"/>
        <v>1</v>
      </c>
      <c r="L107" s="1196" t="s">
        <v>437</v>
      </c>
      <c r="M107" s="1">
        <v>35</v>
      </c>
      <c r="N107" s="1178">
        <v>71.3</v>
      </c>
    </row>
    <row r="108" spans="2:14" x14ac:dyDescent="0.25">
      <c r="B108" s="1169"/>
      <c r="C108" s="1169" t="s">
        <v>1238</v>
      </c>
      <c r="D108" s="139" t="s">
        <v>962</v>
      </c>
      <c r="E108" s="1169">
        <v>126</v>
      </c>
      <c r="F108" s="1169">
        <v>3.92</v>
      </c>
      <c r="G108" s="1169">
        <v>2.74</v>
      </c>
      <c r="H108" s="1169">
        <v>70</v>
      </c>
      <c r="I108" s="1169">
        <v>602</v>
      </c>
      <c r="J108" s="1169">
        <v>70.5</v>
      </c>
      <c r="K108" s="1169">
        <f t="shared" si="3"/>
        <v>1</v>
      </c>
      <c r="L108" s="1196" t="s">
        <v>962</v>
      </c>
      <c r="M108" s="1">
        <v>17</v>
      </c>
      <c r="N108" s="1178">
        <v>70.5</v>
      </c>
    </row>
    <row r="109" spans="2:14" x14ac:dyDescent="0.25">
      <c r="B109" s="1169"/>
      <c r="C109" s="1169" t="s">
        <v>1203</v>
      </c>
      <c r="D109" s="1169" t="s">
        <v>141</v>
      </c>
      <c r="E109" s="1169">
        <v>112</v>
      </c>
      <c r="F109" s="1169">
        <v>4.04</v>
      </c>
      <c r="G109" s="1169">
        <v>2.3199999999999998</v>
      </c>
      <c r="H109" s="1169">
        <v>64.2</v>
      </c>
      <c r="I109" s="1169">
        <v>564</v>
      </c>
      <c r="J109" s="1169">
        <v>76.400000000000006</v>
      </c>
      <c r="K109" s="1169">
        <f t="shared" si="3"/>
        <v>1</v>
      </c>
      <c r="L109" s="1196" t="s">
        <v>141</v>
      </c>
      <c r="M109" s="1">
        <v>19</v>
      </c>
      <c r="N109" s="1178">
        <v>76.400000000000006</v>
      </c>
    </row>
    <row r="110" spans="2:14" x14ac:dyDescent="0.25">
      <c r="B110" s="1169"/>
      <c r="C110" s="1169" t="s">
        <v>1260</v>
      </c>
      <c r="D110" s="139" t="s">
        <v>964</v>
      </c>
      <c r="E110" s="1169">
        <v>110</v>
      </c>
      <c r="F110" s="1169">
        <v>4.03</v>
      </c>
      <c r="G110" s="1169">
        <v>2.31</v>
      </c>
      <c r="H110" s="1169">
        <v>68.7</v>
      </c>
      <c r="I110" s="1169">
        <v>483</v>
      </c>
      <c r="J110" s="1169">
        <v>66.2</v>
      </c>
      <c r="K110" s="1169">
        <f t="shared" si="3"/>
        <v>1</v>
      </c>
      <c r="L110" s="1196" t="s">
        <v>964</v>
      </c>
      <c r="M110" s="1">
        <v>28</v>
      </c>
      <c r="N110" s="1178">
        <v>66.2</v>
      </c>
    </row>
    <row r="111" spans="2:14" x14ac:dyDescent="0.25">
      <c r="B111" s="1169"/>
      <c r="C111" s="1169" t="s">
        <v>1258</v>
      </c>
      <c r="D111" s="1169" t="s">
        <v>969</v>
      </c>
      <c r="E111" s="1169">
        <v>118</v>
      </c>
      <c r="F111" s="1169">
        <v>4.1100000000000003</v>
      </c>
      <c r="G111" s="1169">
        <v>2.08</v>
      </c>
      <c r="H111" s="1169">
        <v>74.7</v>
      </c>
      <c r="I111" s="1169">
        <v>556</v>
      </c>
      <c r="J111" s="1169">
        <v>67.099999999999994</v>
      </c>
      <c r="K111" s="1169">
        <f t="shared" si="3"/>
        <v>1</v>
      </c>
      <c r="L111" s="1201" t="s">
        <v>969</v>
      </c>
      <c r="M111" s="1">
        <v>34</v>
      </c>
      <c r="N111" s="1178">
        <v>67.099999999999994</v>
      </c>
    </row>
    <row r="112" spans="2:14" x14ac:dyDescent="0.25">
      <c r="B112" s="1169"/>
      <c r="C112" s="1169" t="s">
        <v>1240</v>
      </c>
      <c r="D112" s="1169" t="s">
        <v>440</v>
      </c>
      <c r="E112" s="1169">
        <v>94</v>
      </c>
      <c r="F112" s="1169">
        <v>4</v>
      </c>
      <c r="G112" s="1169">
        <v>2.15</v>
      </c>
      <c r="H112" s="1169">
        <v>63.1</v>
      </c>
      <c r="I112" s="1169">
        <v>417</v>
      </c>
      <c r="J112" s="1169">
        <v>70.400000000000006</v>
      </c>
      <c r="K112" s="1169">
        <f t="shared" si="3"/>
        <v>1</v>
      </c>
      <c r="L112" s="1196" t="s">
        <v>440</v>
      </c>
      <c r="M112" s="1">
        <v>35</v>
      </c>
      <c r="N112" s="1178">
        <v>70.400000000000006</v>
      </c>
    </row>
    <row r="113" spans="2:14" x14ac:dyDescent="0.25">
      <c r="B113" s="1169"/>
      <c r="C113" s="1169" t="s">
        <v>1187</v>
      </c>
      <c r="D113" s="1169" t="s">
        <v>147</v>
      </c>
      <c r="E113" s="1169">
        <v>157</v>
      </c>
      <c r="F113" s="1169">
        <v>4.09</v>
      </c>
      <c r="G113" s="1169">
        <v>3.17</v>
      </c>
      <c r="H113" s="1169">
        <v>81.599999999999994</v>
      </c>
      <c r="I113" s="1169">
        <v>773</v>
      </c>
      <c r="J113" s="1169">
        <v>80.5</v>
      </c>
      <c r="K113" s="1169">
        <f t="shared" si="3"/>
        <v>1</v>
      </c>
      <c r="L113" s="1196" t="s">
        <v>147</v>
      </c>
      <c r="M113" s="1">
        <v>9</v>
      </c>
      <c r="N113" s="1178">
        <v>80.5</v>
      </c>
    </row>
    <row r="114" spans="2:14" x14ac:dyDescent="0.25">
      <c r="B114" s="1169"/>
      <c r="C114" s="1169" t="s">
        <v>1249</v>
      </c>
      <c r="D114" s="1169" t="s">
        <v>97</v>
      </c>
      <c r="E114" s="1169">
        <v>114</v>
      </c>
      <c r="F114" s="1169">
        <v>4.08</v>
      </c>
      <c r="G114" s="1169">
        <v>2.04</v>
      </c>
      <c r="H114" s="1169">
        <v>73.400000000000006</v>
      </c>
      <c r="I114" s="1169">
        <v>543</v>
      </c>
      <c r="J114" s="1169">
        <v>68.599999999999994</v>
      </c>
      <c r="K114" s="1169">
        <f t="shared" si="3"/>
        <v>1</v>
      </c>
      <c r="L114" s="1196" t="s">
        <v>97</v>
      </c>
      <c r="M114" s="1">
        <v>8</v>
      </c>
      <c r="N114" s="1178">
        <v>68.599999999999994</v>
      </c>
    </row>
    <row r="115" spans="2:14" x14ac:dyDescent="0.25">
      <c r="B115" s="1169"/>
      <c r="C115" s="1169" t="s">
        <v>1199</v>
      </c>
      <c r="D115" s="1175" t="s">
        <v>453</v>
      </c>
      <c r="E115" s="1169">
        <v>143</v>
      </c>
      <c r="F115" s="1169">
        <v>4.03</v>
      </c>
      <c r="G115" s="1169">
        <v>2.71</v>
      </c>
      <c r="H115" s="1169">
        <v>75.099999999999994</v>
      </c>
      <c r="I115" s="1169">
        <v>703</v>
      </c>
      <c r="J115" s="1169">
        <v>77.3</v>
      </c>
      <c r="K115" s="1169">
        <f t="shared" ref="K115:K130" si="4">IF(L115=D115,1,0)</f>
        <v>1</v>
      </c>
      <c r="L115" s="1165" t="s">
        <v>453</v>
      </c>
      <c r="M115" s="1" t="s">
        <v>1279</v>
      </c>
      <c r="N115" s="1178">
        <v>77.3</v>
      </c>
    </row>
    <row r="116" spans="2:14" x14ac:dyDescent="0.25">
      <c r="B116" s="1169"/>
      <c r="C116" s="1169" t="s">
        <v>1188</v>
      </c>
      <c r="D116" s="962" t="s">
        <v>726</v>
      </c>
      <c r="E116" s="1169">
        <v>159</v>
      </c>
      <c r="F116" s="1169">
        <v>3.83</v>
      </c>
      <c r="G116" s="1169">
        <v>2.99</v>
      </c>
      <c r="H116" s="1169">
        <v>94</v>
      </c>
      <c r="I116" s="1169">
        <v>725</v>
      </c>
      <c r="J116" s="1169">
        <v>80.3</v>
      </c>
      <c r="K116" s="1169">
        <f t="shared" si="4"/>
        <v>1</v>
      </c>
      <c r="L116" s="190" t="s">
        <v>726</v>
      </c>
      <c r="M116" s="1" t="s">
        <v>1279</v>
      </c>
      <c r="N116" s="1178">
        <v>80.3</v>
      </c>
    </row>
    <row r="117" spans="2:14" x14ac:dyDescent="0.25">
      <c r="B117" s="1169"/>
      <c r="C117" s="1169" t="s">
        <v>1177</v>
      </c>
      <c r="D117" s="1169" t="s">
        <v>450</v>
      </c>
      <c r="E117" s="1169">
        <v>198</v>
      </c>
      <c r="F117" s="1169">
        <v>3.95</v>
      </c>
      <c r="G117" s="1169">
        <v>3.04</v>
      </c>
      <c r="H117" s="1169">
        <v>79.7</v>
      </c>
      <c r="I117" s="1169">
        <v>747</v>
      </c>
      <c r="J117" s="1169">
        <v>83.4</v>
      </c>
      <c r="K117" s="1169">
        <f t="shared" si="4"/>
        <v>1</v>
      </c>
      <c r="L117" s="1165" t="s">
        <v>450</v>
      </c>
      <c r="M117" s="1" t="s">
        <v>1279</v>
      </c>
      <c r="N117" s="1178">
        <v>83.4</v>
      </c>
    </row>
    <row r="118" spans="2:14" x14ac:dyDescent="0.25">
      <c r="B118" s="1169"/>
      <c r="C118" s="1169" t="s">
        <v>781</v>
      </c>
      <c r="D118" s="1169" t="s">
        <v>499</v>
      </c>
      <c r="E118" s="1169">
        <v>224</v>
      </c>
      <c r="F118" s="1169">
        <v>4.09</v>
      </c>
      <c r="G118" s="1169">
        <v>3.33</v>
      </c>
      <c r="H118" s="1169">
        <v>86.7</v>
      </c>
      <c r="I118" s="1169">
        <v>1000</v>
      </c>
      <c r="J118" s="1169">
        <v>93.4</v>
      </c>
      <c r="K118" s="1169">
        <f t="shared" si="4"/>
        <v>1</v>
      </c>
      <c r="L118" s="1165" t="s">
        <v>499</v>
      </c>
      <c r="M118" s="1" t="s">
        <v>1279</v>
      </c>
      <c r="N118" s="1178">
        <v>93.4</v>
      </c>
    </row>
    <row r="119" spans="2:14" x14ac:dyDescent="0.25">
      <c r="B119" s="1169"/>
      <c r="C119" s="1169" t="s">
        <v>1157</v>
      </c>
      <c r="D119" s="1176" t="s">
        <v>496</v>
      </c>
      <c r="E119" s="1169">
        <v>215</v>
      </c>
      <c r="F119" s="1169">
        <v>4.0999999999999996</v>
      </c>
      <c r="G119" s="1169">
        <v>3.34</v>
      </c>
      <c r="H119" s="1169">
        <v>83.4</v>
      </c>
      <c r="I119" s="1169">
        <v>989</v>
      </c>
      <c r="J119" s="1169">
        <v>94</v>
      </c>
      <c r="K119" s="1169">
        <f t="shared" si="4"/>
        <v>1</v>
      </c>
      <c r="L119" s="1164" t="s">
        <v>496</v>
      </c>
      <c r="M119" s="1" t="s">
        <v>1279</v>
      </c>
      <c r="N119" s="1178">
        <v>94</v>
      </c>
    </row>
    <row r="120" spans="2:14" x14ac:dyDescent="0.25">
      <c r="B120" s="1169"/>
      <c r="C120" s="1169" t="s">
        <v>1227</v>
      </c>
      <c r="D120" s="190" t="s">
        <v>488</v>
      </c>
      <c r="E120" s="1169">
        <v>142</v>
      </c>
      <c r="F120" s="1169">
        <v>4.05</v>
      </c>
      <c r="G120" s="1169">
        <v>2.95</v>
      </c>
      <c r="H120" s="1169">
        <v>72.900000000000006</v>
      </c>
      <c r="I120" s="1169">
        <v>680</v>
      </c>
      <c r="J120" s="1169">
        <v>73.099999999999994</v>
      </c>
      <c r="K120" s="1169">
        <f t="shared" si="4"/>
        <v>1</v>
      </c>
      <c r="L120" s="190" t="s">
        <v>488</v>
      </c>
      <c r="M120" s="1" t="s">
        <v>1278</v>
      </c>
      <c r="N120" s="1178">
        <v>73.099999999999994</v>
      </c>
    </row>
    <row r="121" spans="2:14" x14ac:dyDescent="0.25">
      <c r="B121" s="1169"/>
      <c r="C121" s="1169" t="s">
        <v>1198</v>
      </c>
      <c r="D121" s="139" t="s">
        <v>472</v>
      </c>
      <c r="E121" s="1169">
        <v>156</v>
      </c>
      <c r="F121" s="1169">
        <v>4.1399999999999997</v>
      </c>
      <c r="G121" s="1169">
        <v>3.15</v>
      </c>
      <c r="H121" s="1169">
        <v>89.2</v>
      </c>
      <c r="I121" s="1169">
        <v>914</v>
      </c>
      <c r="J121" s="1169">
        <v>78.7</v>
      </c>
      <c r="K121" s="1169">
        <f t="shared" si="4"/>
        <v>1</v>
      </c>
      <c r="L121" s="139" t="s">
        <v>472</v>
      </c>
      <c r="M121" s="1" t="s">
        <v>1278</v>
      </c>
      <c r="N121" s="1178">
        <v>78.7</v>
      </c>
    </row>
    <row r="122" spans="2:14" x14ac:dyDescent="0.25">
      <c r="B122" s="1169"/>
      <c r="C122" s="1169" t="s">
        <v>1193</v>
      </c>
      <c r="D122" s="1174" t="s">
        <v>463</v>
      </c>
      <c r="E122" s="1169">
        <v>162</v>
      </c>
      <c r="F122" s="1169">
        <v>3.94</v>
      </c>
      <c r="G122" s="1169">
        <v>3.06</v>
      </c>
      <c r="H122" s="1169">
        <v>79.2</v>
      </c>
      <c r="I122" s="1169">
        <v>756</v>
      </c>
      <c r="J122" s="1169">
        <v>79.7</v>
      </c>
      <c r="K122" s="1169">
        <f t="shared" si="4"/>
        <v>1</v>
      </c>
      <c r="L122" s="139" t="s">
        <v>463</v>
      </c>
      <c r="M122" s="1" t="s">
        <v>1278</v>
      </c>
      <c r="N122" s="1178">
        <v>79.7</v>
      </c>
    </row>
    <row r="123" spans="2:14" x14ac:dyDescent="0.25">
      <c r="B123" s="1169"/>
      <c r="C123" s="1169" t="s">
        <v>1185</v>
      </c>
      <c r="D123" s="102" t="s">
        <v>477</v>
      </c>
      <c r="E123" s="1169">
        <v>160</v>
      </c>
      <c r="F123" s="1169">
        <v>4.03</v>
      </c>
      <c r="G123" s="1169">
        <v>3.09</v>
      </c>
      <c r="H123" s="1169">
        <v>85.8</v>
      </c>
      <c r="I123" s="1169">
        <v>800</v>
      </c>
      <c r="J123" s="1169">
        <v>81.3</v>
      </c>
      <c r="K123" s="1169">
        <f t="shared" si="4"/>
        <v>1</v>
      </c>
      <c r="L123" s="139" t="s">
        <v>477</v>
      </c>
      <c r="M123" s="1" t="s">
        <v>1278</v>
      </c>
      <c r="N123" s="1178">
        <v>81.3</v>
      </c>
    </row>
    <row r="124" spans="2:14" x14ac:dyDescent="0.25">
      <c r="B124" s="1169"/>
      <c r="C124" s="1169" t="s">
        <v>1180</v>
      </c>
      <c r="D124" s="55" t="s">
        <v>475</v>
      </c>
      <c r="E124" s="1169">
        <v>168</v>
      </c>
      <c r="F124" s="1169">
        <v>3.98</v>
      </c>
      <c r="G124" s="1169">
        <v>3.16</v>
      </c>
      <c r="H124" s="1169">
        <v>80.400000000000006</v>
      </c>
      <c r="I124" s="1169">
        <v>827</v>
      </c>
      <c r="J124" s="1169">
        <v>83.1</v>
      </c>
      <c r="K124" s="1169">
        <f t="shared" si="4"/>
        <v>1</v>
      </c>
      <c r="L124" s="55" t="s">
        <v>475</v>
      </c>
      <c r="M124" s="1" t="s">
        <v>1278</v>
      </c>
      <c r="N124" s="1178">
        <v>83.1</v>
      </c>
    </row>
    <row r="125" spans="2:14" x14ac:dyDescent="0.25">
      <c r="B125" s="1169"/>
      <c r="C125" s="1169" t="s">
        <v>1176</v>
      </c>
      <c r="D125" s="139" t="s">
        <v>486</v>
      </c>
      <c r="E125" s="1169">
        <v>157</v>
      </c>
      <c r="F125" s="1169">
        <v>4.18</v>
      </c>
      <c r="G125" s="1169">
        <v>2.95</v>
      </c>
      <c r="H125" s="1169">
        <v>86.8</v>
      </c>
      <c r="I125" s="1169">
        <v>905</v>
      </c>
      <c r="J125" s="1169">
        <v>83.8</v>
      </c>
      <c r="K125" s="1169">
        <f t="shared" si="4"/>
        <v>1</v>
      </c>
      <c r="L125" s="139" t="s">
        <v>486</v>
      </c>
      <c r="M125" s="1" t="s">
        <v>1278</v>
      </c>
      <c r="N125" s="1178">
        <v>83.8</v>
      </c>
    </row>
    <row r="126" spans="2:14" x14ac:dyDescent="0.25">
      <c r="B126" s="1169"/>
      <c r="C126" s="1169" t="s">
        <v>1174</v>
      </c>
      <c r="D126" s="55" t="s">
        <v>478</v>
      </c>
      <c r="E126" s="1169">
        <v>162</v>
      </c>
      <c r="F126" s="1169">
        <v>4.0199999999999996</v>
      </c>
      <c r="G126" s="1169">
        <v>3.09</v>
      </c>
      <c r="H126" s="1169">
        <v>86</v>
      </c>
      <c r="I126" s="1169">
        <v>814</v>
      </c>
      <c r="J126" s="1169">
        <v>84.1</v>
      </c>
      <c r="K126" s="1169">
        <f t="shared" si="4"/>
        <v>1</v>
      </c>
      <c r="L126" s="139" t="s">
        <v>478</v>
      </c>
      <c r="M126" s="1" t="s">
        <v>1278</v>
      </c>
      <c r="N126" s="1178">
        <v>84.1</v>
      </c>
    </row>
    <row r="127" spans="2:14" x14ac:dyDescent="0.25">
      <c r="B127" s="1169"/>
      <c r="C127" s="1169" t="s">
        <v>1164</v>
      </c>
      <c r="D127" s="139" t="s">
        <v>481</v>
      </c>
      <c r="E127" s="1169">
        <v>171</v>
      </c>
      <c r="F127" s="1169">
        <v>4.05</v>
      </c>
      <c r="G127" s="1169">
        <v>3.22</v>
      </c>
      <c r="H127" s="1169">
        <v>83.2</v>
      </c>
      <c r="I127" s="1169">
        <v>868</v>
      </c>
      <c r="J127" s="1169">
        <v>84.3</v>
      </c>
      <c r="K127" s="1169">
        <f t="shared" si="4"/>
        <v>1</v>
      </c>
      <c r="L127" s="139" t="s">
        <v>481</v>
      </c>
      <c r="M127" s="1" t="s">
        <v>1278</v>
      </c>
      <c r="N127" s="1178">
        <v>84.3</v>
      </c>
    </row>
    <row r="128" spans="2:14" x14ac:dyDescent="0.25">
      <c r="B128" s="1169"/>
      <c r="C128" s="1169" t="s">
        <v>1172</v>
      </c>
      <c r="D128" s="1169" t="s">
        <v>460</v>
      </c>
      <c r="E128" s="1169">
        <v>196</v>
      </c>
      <c r="F128" s="1169">
        <v>4.0599999999999996</v>
      </c>
      <c r="G128" s="1169">
        <v>3.1</v>
      </c>
      <c r="H128" s="1169">
        <v>85.4</v>
      </c>
      <c r="I128" s="1169">
        <v>823</v>
      </c>
      <c r="J128" s="1169">
        <v>84.8</v>
      </c>
      <c r="K128" s="1169">
        <f t="shared" si="4"/>
        <v>1</v>
      </c>
      <c r="L128" s="139" t="s">
        <v>460</v>
      </c>
      <c r="M128" s="1" t="s">
        <v>1278</v>
      </c>
      <c r="N128" s="1178">
        <v>84.8</v>
      </c>
    </row>
    <row r="129" spans="2:14" x14ac:dyDescent="0.25">
      <c r="B129" s="1169"/>
      <c r="C129" s="1169" t="s">
        <v>1167</v>
      </c>
      <c r="D129" s="139" t="s">
        <v>473</v>
      </c>
      <c r="E129" s="1169">
        <v>164</v>
      </c>
      <c r="F129" s="1169">
        <v>4.09</v>
      </c>
      <c r="G129" s="1169">
        <v>3.13</v>
      </c>
      <c r="H129" s="1169">
        <v>81.2</v>
      </c>
      <c r="I129" s="1169">
        <v>838</v>
      </c>
      <c r="J129" s="1169">
        <v>86.9</v>
      </c>
      <c r="K129" s="1169">
        <f t="shared" si="4"/>
        <v>1</v>
      </c>
      <c r="L129" s="139" t="s">
        <v>473</v>
      </c>
      <c r="M129" s="1" t="s">
        <v>1278</v>
      </c>
      <c r="N129" s="1178">
        <v>86.9</v>
      </c>
    </row>
    <row r="130" spans="2:14" x14ac:dyDescent="0.25">
      <c r="B130" s="1169"/>
      <c r="C130" s="1169" t="s">
        <v>1166</v>
      </c>
      <c r="D130" s="1169" t="s">
        <v>456</v>
      </c>
      <c r="E130" s="1169">
        <v>183</v>
      </c>
      <c r="F130" s="1169">
        <v>4.08</v>
      </c>
      <c r="G130" s="1169">
        <v>2.97</v>
      </c>
      <c r="H130" s="1169">
        <v>81</v>
      </c>
      <c r="I130" s="1169">
        <v>774</v>
      </c>
      <c r="J130" s="1169">
        <v>87.1</v>
      </c>
      <c r="K130" s="1169">
        <f t="shared" si="4"/>
        <v>1</v>
      </c>
      <c r="L130" s="139" t="s">
        <v>456</v>
      </c>
      <c r="M130" s="1" t="s">
        <v>1278</v>
      </c>
      <c r="N130" s="1178">
        <v>87.1</v>
      </c>
    </row>
    <row r="131" spans="2:14" x14ac:dyDescent="0.25">
      <c r="B131" s="1169"/>
      <c r="C131" s="1169" t="s">
        <v>1162</v>
      </c>
      <c r="D131" s="1169" t="s">
        <v>470</v>
      </c>
      <c r="E131" s="1169">
        <v>205</v>
      </c>
      <c r="F131" s="1169">
        <v>4.0199999999999996</v>
      </c>
      <c r="G131" s="1169">
        <v>3.36</v>
      </c>
      <c r="H131" s="1169">
        <v>90.4</v>
      </c>
      <c r="I131" s="1169">
        <v>933</v>
      </c>
      <c r="J131" s="1169">
        <v>89.2</v>
      </c>
      <c r="K131" s="1169">
        <f t="shared" ref="K131:K133" si="5">IF(L131=D131,1,0)</f>
        <v>1</v>
      </c>
      <c r="L131" s="139" t="s">
        <v>470</v>
      </c>
      <c r="M131" s="1" t="s">
        <v>1278</v>
      </c>
      <c r="N131" s="1178">
        <v>89.2</v>
      </c>
    </row>
    <row r="132" spans="2:14" x14ac:dyDescent="0.25">
      <c r="B132" s="1169"/>
      <c r="C132" s="1169" t="s">
        <v>1161</v>
      </c>
      <c r="D132" s="55" t="s">
        <v>47</v>
      </c>
      <c r="E132" s="1169">
        <v>187</v>
      </c>
      <c r="F132" s="1169">
        <v>3.87</v>
      </c>
      <c r="G132" s="1169">
        <v>3.22</v>
      </c>
      <c r="H132" s="1169">
        <v>83.8</v>
      </c>
      <c r="I132" s="1169">
        <v>880</v>
      </c>
      <c r="J132" s="1169">
        <v>89.7</v>
      </c>
      <c r="K132" s="1169">
        <f t="shared" si="5"/>
        <v>1</v>
      </c>
      <c r="L132" s="139" t="s">
        <v>47</v>
      </c>
      <c r="M132" s="1" t="s">
        <v>1278</v>
      </c>
      <c r="N132" s="1178">
        <v>89.7</v>
      </c>
    </row>
    <row r="133" spans="2:14" x14ac:dyDescent="0.25">
      <c r="B133" s="1169"/>
      <c r="C133" s="1169" t="s">
        <v>1160</v>
      </c>
      <c r="D133" s="1169" t="s">
        <v>494</v>
      </c>
      <c r="E133" s="1169">
        <v>177</v>
      </c>
      <c r="F133" s="1169">
        <v>3.95</v>
      </c>
      <c r="G133" s="1169">
        <v>3.18</v>
      </c>
      <c r="H133" s="1169">
        <v>80.5</v>
      </c>
      <c r="I133" s="1169">
        <v>826</v>
      </c>
      <c r="J133" s="1169">
        <v>89.8</v>
      </c>
      <c r="K133" s="1169">
        <f t="shared" si="5"/>
        <v>1</v>
      </c>
      <c r="L133" s="139" t="s">
        <v>494</v>
      </c>
      <c r="M133" s="1" t="s">
        <v>1278</v>
      </c>
      <c r="N133" s="1178">
        <v>89.8</v>
      </c>
    </row>
    <row r="134" spans="2:14" x14ac:dyDescent="0.25">
      <c r="K134" s="1169">
        <f>SUM(K3:K133)</f>
        <v>131</v>
      </c>
    </row>
    <row r="135" spans="2:14" x14ac:dyDescent="0.25">
      <c r="K135" s="1169"/>
    </row>
    <row r="307" spans="4:4" x14ac:dyDescent="0.25">
      <c r="D307" s="1172"/>
    </row>
    <row r="308" spans="4:4" x14ac:dyDescent="0.25">
      <c r="D308" s="1172"/>
    </row>
    <row r="309" spans="4:4" x14ac:dyDescent="0.25">
      <c r="D309" s="1170"/>
    </row>
    <row r="310" spans="4:4" x14ac:dyDescent="0.25">
      <c r="D310" s="1170"/>
    </row>
    <row r="311" spans="4:4" x14ac:dyDescent="0.25">
      <c r="D311" s="1172"/>
    </row>
    <row r="312" spans="4:4" x14ac:dyDescent="0.25">
      <c r="D312" s="1170"/>
    </row>
    <row r="313" spans="4:4" x14ac:dyDescent="0.25">
      <c r="D313" s="1173"/>
    </row>
  </sheetData>
  <sortState ref="B3:Q114">
    <sortCondition ref="L3:L114"/>
  </sortState>
  <mergeCells count="1">
    <mergeCell ref="T39:AH7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INTRODUCTION</vt:lpstr>
      <vt:lpstr>Calculating marks</vt:lpstr>
      <vt:lpstr>Example marks</vt:lpstr>
      <vt:lpstr>DEGREE MARK SIMULATOR</vt:lpstr>
      <vt:lpstr>Register</vt:lpstr>
      <vt:lpstr>GOV.UK </vt:lpstr>
      <vt:lpstr>Sheet2</vt:lpstr>
      <vt:lpstr>'Calculating marks'!Print_Area</vt:lpstr>
      <vt:lpstr>'DEGREE MARK SIMULATOR'!Print_Area</vt:lpstr>
      <vt:lpstr>'Example marks'!Print_Area</vt:lpstr>
      <vt:lpstr>INTRODUCTION!Print_Area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 allen</dc:creator>
  <cp:lastModifiedBy>David Kernohan</cp:lastModifiedBy>
  <cp:lastPrinted>2020-02-03T12:03:48Z</cp:lastPrinted>
  <dcterms:created xsi:type="dcterms:W3CDTF">2020-01-24T15:57:47Z</dcterms:created>
  <dcterms:modified xsi:type="dcterms:W3CDTF">2020-02-19T17:39:10Z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120 120 1920 1200</vt:lpwstr>
  </property>
</Properties>
</file>